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600" yWindow="585" windowWidth="2400" windowHeight="4530" tabRatio="733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Hoja1" sheetId="10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GASTOS!$A$1:$D$355</definedName>
    <definedName name="_xlnm.Print_Area" localSheetId="0">INGRESOS!$A$9:$G$63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44525"/>
</workbook>
</file>

<file path=xl/calcChain.xml><?xml version="1.0" encoding="utf-8"?>
<calcChain xmlns="http://schemas.openxmlformats.org/spreadsheetml/2006/main">
  <c r="D260" i="2" l="1"/>
  <c r="C375" i="2" l="1"/>
  <c r="D373" i="2"/>
  <c r="C378" i="2"/>
  <c r="D385" i="2"/>
  <c r="C386" i="2"/>
  <c r="C387" i="2"/>
  <c r="C77" i="2" l="1"/>
  <c r="J10" i="2" l="1"/>
  <c r="C24" i="2" l="1"/>
  <c r="K29" i="4" l="1"/>
  <c r="K30" i="4"/>
  <c r="C263" i="2" l="1"/>
  <c r="C198" i="2"/>
  <c r="C204" i="2"/>
  <c r="C207" i="2"/>
  <c r="C301" i="2"/>
  <c r="C197" i="2" l="1"/>
  <c r="C196" i="2" s="1"/>
  <c r="C247" i="2"/>
  <c r="C246" i="2" s="1"/>
  <c r="C153" i="2"/>
  <c r="K34" i="4"/>
  <c r="K31" i="4"/>
  <c r="C392" i="2"/>
  <c r="C391" i="2"/>
  <c r="D390" i="2" s="1"/>
  <c r="C125" i="2" l="1"/>
  <c r="C124" i="2" s="1"/>
  <c r="C111" i="2" l="1"/>
  <c r="C150" i="2" l="1"/>
  <c r="C149" i="2" s="1"/>
  <c r="C114" i="2"/>
  <c r="L37" i="4"/>
  <c r="C68" i="2" l="1"/>
  <c r="I331" i="2" l="1"/>
  <c r="C324" i="2"/>
  <c r="C256" i="2"/>
  <c r="C262" i="2" l="1"/>
  <c r="C236" i="2" l="1"/>
  <c r="C235" i="2" s="1"/>
  <c r="C232" i="2"/>
  <c r="C231" i="2" s="1"/>
  <c r="C230" i="2" l="1"/>
  <c r="D228" i="2"/>
  <c r="C274" i="2"/>
  <c r="C161" i="2"/>
  <c r="C368" i="2"/>
  <c r="C367" i="2" s="1"/>
  <c r="D366" i="2" s="1"/>
  <c r="C358" i="2"/>
  <c r="C357" i="2" s="1"/>
  <c r="C381" i="2"/>
  <c r="C379" i="2"/>
  <c r="C376" i="2"/>
  <c r="C374" i="2" s="1"/>
  <c r="D396" i="2" l="1"/>
  <c r="C120" i="2"/>
  <c r="C117" i="2"/>
  <c r="C160" i="2"/>
  <c r="C159" i="2" s="1"/>
  <c r="C252" i="2"/>
  <c r="C251" i="2" s="1"/>
  <c r="C255" i="2"/>
  <c r="C345" i="2"/>
  <c r="C344" i="2" s="1"/>
  <c r="C328" i="2"/>
  <c r="C292" i="2"/>
  <c r="C295" i="2"/>
  <c r="C291" i="2"/>
  <c r="C290" i="2"/>
  <c r="C287" i="2"/>
  <c r="J39" i="5"/>
  <c r="H39" i="5"/>
  <c r="F39" i="5"/>
  <c r="E39" i="5"/>
  <c r="I39" i="5" s="1"/>
  <c r="C219" i="2"/>
  <c r="C289" i="2" l="1"/>
  <c r="C245" i="2"/>
  <c r="D243" i="2" s="1"/>
  <c r="C110" i="2"/>
  <c r="C109" i="2" s="1"/>
  <c r="D92" i="2" s="1"/>
  <c r="D341" i="2"/>
  <c r="C343" i="2"/>
  <c r="D194" i="2" l="1"/>
  <c r="D157" i="2" l="1"/>
  <c r="C277" i="2"/>
  <c r="C273" i="2" s="1"/>
  <c r="C272" i="2" s="1"/>
  <c r="D269" i="2" l="1"/>
  <c r="C298" i="2"/>
  <c r="C297" i="2" s="1"/>
  <c r="C294" i="2"/>
  <c r="C286" i="2"/>
  <c r="C285" i="2" l="1"/>
  <c r="C284" i="2" s="1"/>
  <c r="D146" i="2"/>
  <c r="C148" i="2"/>
  <c r="C353" i="2"/>
  <c r="C52" i="7"/>
  <c r="C37" i="7"/>
  <c r="D57" i="7"/>
  <c r="C55" i="7" s="1"/>
  <c r="C59" i="7"/>
  <c r="C49" i="7"/>
  <c r="C11" i="7"/>
  <c r="I12" i="5"/>
  <c r="I16" i="5"/>
  <c r="I17" i="5"/>
  <c r="I11" i="5"/>
  <c r="H12" i="5"/>
  <c r="H16" i="5"/>
  <c r="H11" i="5"/>
  <c r="I39" i="4"/>
  <c r="I38" i="4" s="1"/>
  <c r="J43" i="4"/>
  <c r="J42" i="4" s="1"/>
  <c r="J41" i="4" s="1"/>
  <c r="J40" i="4"/>
  <c r="I42" i="4"/>
  <c r="I41" i="4" s="1"/>
  <c r="I37" i="4" s="1"/>
  <c r="M32" i="4"/>
  <c r="J25" i="4"/>
  <c r="M25" i="4" s="1"/>
  <c r="H34" i="4"/>
  <c r="G34" i="4"/>
  <c r="F34" i="4"/>
  <c r="H33" i="4"/>
  <c r="H31" i="4" s="1"/>
  <c r="G33" i="4"/>
  <c r="G31" i="4" s="1"/>
  <c r="F31" i="4"/>
  <c r="H27" i="4"/>
  <c r="H26" i="4" s="1"/>
  <c r="G27" i="4"/>
  <c r="G26" i="4" s="1"/>
  <c r="F27" i="4"/>
  <c r="F26" i="4" s="1"/>
  <c r="H23" i="4"/>
  <c r="H22" i="4" s="1"/>
  <c r="G23" i="4"/>
  <c r="G22" i="4" s="1"/>
  <c r="F23" i="4"/>
  <c r="F22" i="4" s="1"/>
  <c r="D282" i="2" l="1"/>
  <c r="F30" i="4"/>
  <c r="F50" i="4" s="1"/>
  <c r="G7" i="4"/>
  <c r="C352" i="2"/>
  <c r="C351" i="2" s="1"/>
  <c r="C68" i="7"/>
  <c r="H30" i="4"/>
  <c r="H29" i="4" s="1"/>
  <c r="F7" i="4"/>
  <c r="G30" i="4"/>
  <c r="H7" i="4"/>
  <c r="H50" i="4" l="1"/>
  <c r="F29" i="4"/>
  <c r="D349" i="2"/>
  <c r="G29" i="4"/>
  <c r="G50" i="4"/>
  <c r="G12" i="10"/>
  <c r="G13" i="10" s="1"/>
  <c r="C222" i="2" l="1"/>
  <c r="C218" i="2" s="1"/>
  <c r="C215" i="2"/>
  <c r="C214" i="2" s="1"/>
  <c r="C213" i="2" l="1"/>
  <c r="D211" i="2"/>
  <c r="C188" i="2"/>
  <c r="C7" i="7" l="1"/>
  <c r="J35" i="4" l="1"/>
  <c r="J28" i="4"/>
  <c r="M28" i="4" s="1"/>
  <c r="C3" i="7" l="1"/>
  <c r="D31" i="7"/>
  <c r="I27" i="4"/>
  <c r="I26" i="4" s="1"/>
  <c r="I31" i="4"/>
  <c r="I34" i="4"/>
  <c r="I30" i="4" l="1"/>
  <c r="J33" i="4"/>
  <c r="M33" i="4" s="1"/>
  <c r="J39" i="4"/>
  <c r="J38" i="4" s="1"/>
  <c r="C315" i="2"/>
  <c r="I29" i="4" l="1"/>
  <c r="J37" i="4"/>
  <c r="C8" i="7" l="1"/>
  <c r="C9" i="7" l="1"/>
  <c r="E77" i="7"/>
  <c r="D13" i="5" l="1"/>
  <c r="H13" i="5" l="1"/>
  <c r="I13" i="5"/>
  <c r="C314" i="2"/>
  <c r="C320" i="2"/>
  <c r="C319" i="2" s="1"/>
  <c r="C185" i="2"/>
  <c r="D310" i="2" l="1"/>
  <c r="C313" i="2"/>
  <c r="C40" i="7"/>
  <c r="C41" i="7"/>
  <c r="C74" i="2"/>
  <c r="C73" i="2"/>
  <c r="C72" i="2" s="1"/>
  <c r="C71" i="2" s="1"/>
  <c r="C63" i="2"/>
  <c r="C45" i="2"/>
  <c r="C44" i="2"/>
  <c r="C32" i="2" l="1"/>
  <c r="G11" i="5"/>
  <c r="C16" i="7" s="1"/>
  <c r="D14" i="5"/>
  <c r="G21" i="5"/>
  <c r="C180" i="2" s="1"/>
  <c r="E21" i="5"/>
  <c r="C176" i="2" s="1"/>
  <c r="C174" i="2" s="1"/>
  <c r="I21" i="5"/>
  <c r="C183" i="2" s="1"/>
  <c r="L21" i="5"/>
  <c r="F21" i="5"/>
  <c r="C179" i="2" s="1"/>
  <c r="C22" i="7"/>
  <c r="D15" i="5" l="1"/>
  <c r="H14" i="5"/>
  <c r="I14" i="5"/>
  <c r="J21" i="5"/>
  <c r="E11" i="5"/>
  <c r="C12" i="7" s="1"/>
  <c r="D93" i="4"/>
  <c r="E84" i="4"/>
  <c r="D84" i="4"/>
  <c r="J80" i="4"/>
  <c r="J79" i="4"/>
  <c r="C42" i="4"/>
  <c r="C39" i="4"/>
  <c r="E37" i="4"/>
  <c r="D37" i="4"/>
  <c r="C37" i="4"/>
  <c r="J34" i="4"/>
  <c r="J31" i="4"/>
  <c r="K27" i="4"/>
  <c r="K26" i="4" s="1"/>
  <c r="C4" i="7" s="1"/>
  <c r="J27" i="4"/>
  <c r="J26" i="4" s="1"/>
  <c r="E27" i="4"/>
  <c r="D27" i="4"/>
  <c r="C27" i="4"/>
  <c r="E26" i="4"/>
  <c r="D26" i="4"/>
  <c r="C26" i="4"/>
  <c r="K23" i="4"/>
  <c r="K22" i="4" s="1"/>
  <c r="K6" i="4" s="1"/>
  <c r="E25" i="4"/>
  <c r="E22" i="4" s="1"/>
  <c r="D25" i="4"/>
  <c r="D22" i="4" s="1"/>
  <c r="C25" i="4"/>
  <c r="C22" i="4" s="1"/>
  <c r="J23" i="4"/>
  <c r="J22" i="4" s="1"/>
  <c r="I23" i="4"/>
  <c r="I22" i="4" s="1"/>
  <c r="I50" i="4" s="1"/>
  <c r="E21" i="4"/>
  <c r="E20" i="4" s="1"/>
  <c r="E17" i="4" s="1"/>
  <c r="D21" i="4"/>
  <c r="D20" i="4" s="1"/>
  <c r="D17" i="4" s="1"/>
  <c r="C21" i="4"/>
  <c r="C20" i="4" s="1"/>
  <c r="C17" i="4" s="1"/>
  <c r="J20" i="4"/>
  <c r="J18" i="4"/>
  <c r="J13" i="4"/>
  <c r="J12" i="4" s="1"/>
  <c r="E13" i="4"/>
  <c r="E12" i="4" s="1"/>
  <c r="D13" i="4"/>
  <c r="D12" i="4" s="1"/>
  <c r="C13" i="4"/>
  <c r="C12" i="4" s="1"/>
  <c r="J9" i="4"/>
  <c r="J8" i="4" s="1"/>
  <c r="E9" i="4"/>
  <c r="E8" i="4" s="1"/>
  <c r="D9" i="4"/>
  <c r="D8" i="4" s="1"/>
  <c r="C9" i="4"/>
  <c r="C8" i="4" s="1"/>
  <c r="H15" i="5" l="1"/>
  <c r="I15" i="5"/>
  <c r="J6" i="4"/>
  <c r="J17" i="4"/>
  <c r="C6" i="4"/>
  <c r="C50" i="4" s="1"/>
  <c r="D6" i="4"/>
  <c r="D50" i="4" s="1"/>
  <c r="I7" i="4"/>
  <c r="J7" i="4"/>
  <c r="E6" i="4"/>
  <c r="E50" i="4" s="1"/>
  <c r="J74" i="4"/>
  <c r="J77" i="4"/>
  <c r="J30" i="4"/>
  <c r="J29" i="4" s="1"/>
  <c r="D11" i="7" l="1"/>
  <c r="J50" i="4"/>
  <c r="J72" i="4"/>
  <c r="J78" i="4"/>
  <c r="C6" i="7"/>
  <c r="C2" i="7" s="1"/>
  <c r="G90" i="7"/>
  <c r="H90" i="7" s="1"/>
  <c r="G83" i="7"/>
  <c r="H83" i="7" s="1"/>
  <c r="G82" i="7"/>
  <c r="H82" i="7" s="1"/>
  <c r="G81" i="7"/>
  <c r="H81" i="7" s="1"/>
  <c r="G80" i="7"/>
  <c r="H80" i="7" s="1"/>
  <c r="G104" i="7" l="1"/>
  <c r="G98" i="7"/>
  <c r="H98" i="7" s="1"/>
  <c r="F78" i="7"/>
  <c r="F77" i="7"/>
  <c r="F91" i="7" s="1"/>
  <c r="G78" i="7" l="1"/>
  <c r="H78" i="7" s="1"/>
  <c r="G91" i="7"/>
  <c r="H91" i="7" s="1"/>
  <c r="G77" i="7"/>
  <c r="H77" i="7" s="1"/>
  <c r="E112" i="7"/>
  <c r="C24" i="7" l="1"/>
  <c r="G12" i="5"/>
  <c r="G13" i="5" l="1"/>
  <c r="G14" i="5" s="1"/>
  <c r="G15" i="5" s="1"/>
  <c r="G16" i="5" s="1"/>
  <c r="C18" i="7" s="1"/>
  <c r="C20" i="7" l="1"/>
  <c r="D18" i="5"/>
  <c r="C37" i="2"/>
  <c r="C182" i="2" l="1"/>
  <c r="C178" i="2"/>
  <c r="G18" i="5"/>
  <c r="D172" i="2" l="1"/>
  <c r="C47" i="2"/>
  <c r="C43" i="2"/>
  <c r="C139" i="2"/>
  <c r="E45" i="5"/>
  <c r="G28" i="5" l="1"/>
  <c r="C23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F17" i="5"/>
  <c r="P16" i="5"/>
  <c r="C25" i="7"/>
  <c r="F16" i="5"/>
  <c r="C17" i="7" s="1"/>
  <c r="E16" i="5"/>
  <c r="C13" i="7" s="1"/>
  <c r="P15" i="5"/>
  <c r="E15" i="5"/>
  <c r="P14" i="5"/>
  <c r="E14" i="5"/>
  <c r="P13" i="5"/>
  <c r="E13" i="5"/>
  <c r="P12" i="5"/>
  <c r="C26" i="7"/>
  <c r="E12" i="5"/>
  <c r="F11" i="5"/>
  <c r="M18" i="5"/>
  <c r="C14" i="7" l="1"/>
  <c r="C19" i="7"/>
  <c r="J11" i="5"/>
  <c r="C15" i="7"/>
  <c r="H18" i="5"/>
  <c r="C21" i="7"/>
  <c r="L18" i="5"/>
  <c r="E18" i="5"/>
  <c r="C13" i="2" s="1"/>
  <c r="I18" i="5"/>
  <c r="H28" i="5"/>
  <c r="C101" i="2"/>
  <c r="F18" i="5"/>
  <c r="C19" i="2"/>
  <c r="C95" i="2"/>
  <c r="F42" i="5"/>
  <c r="C17" i="2"/>
  <c r="P18" i="5"/>
  <c r="L28" i="5"/>
  <c r="J42" i="5"/>
  <c r="J12" i="5"/>
  <c r="J13" i="5"/>
  <c r="J14" i="5"/>
  <c r="J15" i="5"/>
  <c r="J16" i="5"/>
  <c r="J17" i="5"/>
  <c r="E28" i="5"/>
  <c r="C27" i="7" l="1"/>
  <c r="C43" i="7" s="1"/>
  <c r="C45" i="7" s="1"/>
  <c r="C70" i="7" s="1"/>
  <c r="J18" i="5"/>
  <c r="L33" i="5"/>
  <c r="C29" i="2"/>
  <c r="E72" i="7" l="1"/>
  <c r="C131" i="2"/>
  <c r="C16" i="2" l="1"/>
  <c r="C15" i="2" s="1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F28" i="5"/>
  <c r="C28" i="2"/>
  <c r="C27" i="2" s="1"/>
  <c r="C12" i="2"/>
  <c r="C97" i="2"/>
  <c r="C94" i="2"/>
  <c r="C11" i="2" l="1"/>
  <c r="F11" i="2"/>
  <c r="O51" i="5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C104" i="2" l="1"/>
  <c r="D93" i="2" s="1"/>
  <c r="C136" i="2"/>
  <c r="D130" i="2" s="1"/>
  <c r="C51" i="2"/>
  <c r="C54" i="2"/>
  <c r="C58" i="2"/>
  <c r="C82" i="2"/>
  <c r="C81" i="2" s="1"/>
  <c r="C76" i="2" s="1"/>
  <c r="C31" i="2" l="1"/>
  <c r="C9" i="2" s="1"/>
  <c r="D7" i="2" s="1"/>
  <c r="C44" i="7"/>
  <c r="C106" i="7" l="1"/>
  <c r="C108" i="7" s="1"/>
  <c r="C116" i="7" s="1"/>
  <c r="C122" i="7" s="1"/>
  <c r="C110" i="7" l="1"/>
  <c r="C118" i="7" s="1"/>
  <c r="E118" i="7" s="1"/>
  <c r="D118" i="7" s="1"/>
  <c r="C109" i="7"/>
  <c r="C117" i="7" s="1"/>
  <c r="E117" i="7" s="1"/>
  <c r="D117" i="7" s="1"/>
  <c r="C107" i="7"/>
  <c r="C115" i="7" s="1"/>
  <c r="E115" i="7" s="1"/>
  <c r="D115" i="7" s="1"/>
  <c r="C111" i="7"/>
  <c r="C119" i="7" s="1"/>
  <c r="E119" i="7" s="1"/>
  <c r="D119" i="7" s="1"/>
  <c r="I82" i="7"/>
  <c r="I83" i="7"/>
  <c r="I81" i="7"/>
  <c r="I90" i="7"/>
  <c r="I80" i="7"/>
  <c r="C120" i="7" l="1"/>
  <c r="C112" i="7"/>
  <c r="E116" i="7"/>
  <c r="E120" i="7" s="1"/>
  <c r="D116" i="7" l="1"/>
  <c r="D120" i="7" s="1"/>
  <c r="B127" i="7" s="1"/>
  <c r="K50" i="4"/>
  <c r="N50" i="4" s="1"/>
  <c r="J82" i="4"/>
  <c r="M72" i="4" l="1"/>
  <c r="J86" i="4"/>
  <c r="K72" i="4" s="1"/>
  <c r="L50" i="4"/>
  <c r="J83" i="4"/>
  <c r="N43" i="4"/>
  <c r="E4" i="7"/>
  <c r="K82" i="4" l="1"/>
  <c r="K86" i="4" s="1"/>
  <c r="K78" i="4"/>
  <c r="K83" i="4"/>
</calcChain>
</file>

<file path=xl/comments1.xml><?xml version="1.0" encoding="utf-8"?>
<comments xmlns="http://schemas.openxmlformats.org/spreadsheetml/2006/main">
  <authors>
    <author>usuario</author>
    <author>TOSHIBA-A305</author>
    <author>Jaime</author>
  </authors>
  <commentList>
    <comment ref="K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Tercer y cuarto desembolso MAE</t>
        </r>
      </text>
    </comment>
    <comment ref="K33" authorId="2">
      <text>
        <r>
          <rPr>
            <b/>
            <sz val="9"/>
            <color indexed="81"/>
            <rFont val="Tahoma"/>
            <family val="2"/>
          </rPr>
          <t>TASA 2015 Y 500.00 DEL MUCIPIO CARNAVAL</t>
        </r>
      </text>
    </comment>
    <comment ref="L33" authorId="2">
      <text>
        <r>
          <rPr>
            <b/>
            <sz val="9"/>
            <color indexed="81"/>
            <rFont val="Tahoma"/>
            <charset val="1"/>
          </rPr>
          <t>500.00 CARRO ALEGORICO Y 250.00 CAPACITADOR BANDA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Aporte del MEF para inversión (mes 15% del total asignado en 2015)</t>
        </r>
      </text>
    </comment>
    <comment ref="K36" authorId="2">
      <text>
        <r>
          <rPr>
            <b/>
            <sz val="9"/>
            <color indexed="81"/>
            <rFont val="Tahoma"/>
            <family val="2"/>
          </rPr>
          <t xml:space="preserve">IVA: DEL 2016
</t>
        </r>
      </text>
    </comment>
    <comment ref="L43" authorId="2">
      <text>
        <r>
          <rPr>
            <b/>
            <sz val="9"/>
            <color indexed="81"/>
            <rFont val="Tahoma"/>
            <charset val="1"/>
          </rPr>
          <t>32100.48    IVA AÑOS ANTERIORES
28040.78 2 TRANSFERENCIAS MEF
Y 2688.40 DE PLAN
45666.98 anticipo tasa 2014 y pdot
MAE Y 4140.00</t>
        </r>
      </text>
    </comment>
  </commentList>
</comments>
</file>

<file path=xl/comments2.xml><?xml version="1.0" encoding="utf-8"?>
<comments xmlns="http://schemas.openxmlformats.org/spreadsheetml/2006/main">
  <authors>
    <author>Jaime</author>
  </authors>
  <commentList>
    <comment ref="C199" authorId="0">
      <text>
        <r>
          <rPr>
            <b/>
            <sz val="9"/>
            <color indexed="81"/>
            <rFont val="Tahoma"/>
            <family val="2"/>
          </rPr>
          <t>500.00 DECORACION CARRO CARNAVAL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CARRERA DESFILE CARNAVAL, Y OTRO AÑO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CARPAS, MESAS PARA FERIA</t>
        </r>
      </text>
    </comment>
    <comment ref="C275" authorId="0">
      <text>
        <r>
          <rPr>
            <sz val="9"/>
            <color indexed="81"/>
            <rFont val="Tahoma"/>
            <family val="2"/>
          </rPr>
          <t>AMORT. ANTICIPO TASA 2014
TASA SOLIDARIA 2014 Y 2015</t>
        </r>
      </text>
    </comment>
    <comment ref="C278" authorId="0">
      <text>
        <r>
          <rPr>
            <b/>
            <sz val="9"/>
            <color indexed="81"/>
            <rFont val="Tahoma"/>
            <family val="2"/>
          </rPr>
          <t xml:space="preserve">5000 DE ACERAS Y BORDILLO
</t>
        </r>
      </text>
    </comment>
    <comment ref="D282" authorId="0">
      <text>
        <r>
          <rPr>
            <b/>
            <sz val="9"/>
            <color indexed="81"/>
            <rFont val="Tahoma"/>
            <charset val="1"/>
          </rPr>
          <t xml:space="preserve">INCLUYE DE AMORTIZAR ANTICIPO SIEMBRA DE PLANTAS MAE
</t>
        </r>
      </text>
    </comment>
    <comment ref="C336" authorId="0">
      <text>
        <r>
          <rPr>
            <b/>
            <sz val="9"/>
            <color indexed="81"/>
            <rFont val="Tahoma"/>
            <charset val="1"/>
          </rPr>
          <t xml:space="preserve">DEBO 0.01 CTV A ING. MARCO MARIN
</t>
        </r>
      </text>
    </comment>
    <comment ref="C3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366" authorId="0">
      <text>
        <r>
          <rPr>
            <b/>
            <sz val="9"/>
            <color indexed="81"/>
            <rFont val="Tahoma"/>
            <family val="2"/>
          </rPr>
          <t xml:space="preserve">13800 CONTRAPARTE BEDE 73.06.01.002 
OJO: los </t>
        </r>
        <r>
          <rPr>
            <sz val="9"/>
            <color indexed="81"/>
            <rFont val="Tahoma"/>
            <family val="2"/>
          </rPr>
          <t>1191.72 es de devolucion de IVA del 2016 de recuperar</t>
        </r>
      </text>
    </comment>
  </commentList>
</comments>
</file>

<file path=xl/sharedStrings.xml><?xml version="1.0" encoding="utf-8"?>
<sst xmlns="http://schemas.openxmlformats.org/spreadsheetml/2006/main" count="824" uniqueCount="574">
  <si>
    <t>T O T A L:</t>
  </si>
  <si>
    <t>SALDO EN CAJA Y BANCOS</t>
  </si>
  <si>
    <t>SALDOS DISPONIBLES</t>
  </si>
  <si>
    <t>INGRESO DE FINANCIAMIENTO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</si>
  <si>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</si>
  <si>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</si>
  <si>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</si>
  <si>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</si>
  <si>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</si>
  <si>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</si>
  <si>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</si>
  <si>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</si>
  <si>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</si>
  <si>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</si>
  <si>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</si>
  <si>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</si>
  <si>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</si>
  <si>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</si>
  <si>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</si>
  <si>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</si>
  <si>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</si>
  <si>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</si>
  <si>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PROGRAMA I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</si>
  <si>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</si>
  <si>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</si>
  <si>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</si>
  <si>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</si>
  <si>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</si>
  <si>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</si>
  <si>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</si>
  <si>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</si>
  <si>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</si>
  <si>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</si>
  <si>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</si>
  <si>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</si>
  <si>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</si>
  <si>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OTROS SERVICIOS COMUNALES</t>
  </si>
  <si>
    <t>SERVICIOS SOCIALES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</si>
  <si>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</si>
  <si>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</si>
  <si>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</si>
  <si>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</si>
  <si>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</si>
  <si>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</si>
  <si>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</si>
  <si>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FUNCION I</t>
  </si>
  <si>
    <t>SERVICIOS GENERALES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</si>
  <si>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</si>
  <si>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</si>
  <si>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</si>
  <si>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</si>
  <si>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</si>
  <si>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</si>
  <si>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</si>
  <si>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</si>
  <si>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</si>
  <si>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</si>
  <si>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</si>
  <si>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</si>
  <si>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</si>
  <si>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</si>
  <si>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</si>
  <si>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</si>
  <si>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</si>
  <si>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</si>
  <si>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</si>
  <si>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</si>
  <si>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</si>
  <si>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</si>
  <si>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</si>
  <si>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</si>
  <si>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</si>
  <si>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</si>
  <si>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</si>
  <si>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</si>
  <si>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</si>
  <si>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</si>
  <si>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</si>
  <si>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</si>
  <si>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</si>
  <si>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</si>
  <si>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</si>
  <si>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</si>
  <si>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</si>
  <si>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</si>
  <si>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</si>
  <si>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</si>
  <si>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</si>
  <si>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</si>
  <si>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</si>
  <si>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</si>
  <si>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</si>
  <si>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</si>
  <si>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Contrataciones de estudios e investigaciones</t>
  </si>
  <si>
    <t>5.3.06.03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</si>
  <si>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</si>
  <si>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</si>
  <si>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</si>
  <si>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</si>
  <si>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</si>
  <si>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</si>
  <si>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5.3.08.01</t>
  </si>
  <si>
    <t>Alimentos y Bebidas</t>
  </si>
  <si>
    <t>5.3.08.02</t>
  </si>
  <si>
    <t>Vestuario, Lencería y prendas de protección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</si>
  <si>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</si>
  <si>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</si>
  <si>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</si>
  <si>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</si>
  <si>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</si>
  <si>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</t>
  </si>
  <si>
    <t>5.3.08.99</t>
  </si>
  <si>
    <t>Otros Usos y Consumos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</si>
  <si>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</si>
  <si>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</si>
  <si>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</si>
  <si>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</si>
  <si>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</si>
  <si>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</si>
  <si>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</si>
  <si>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</si>
  <si>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</si>
  <si>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</si>
  <si>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</si>
  <si>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</si>
  <si>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</si>
  <si>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</si>
  <si>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</si>
  <si>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</si>
  <si>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</si>
  <si>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</si>
  <si>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</si>
  <si>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</si>
  <si>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</si>
  <si>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</si>
  <si>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</si>
  <si>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</si>
  <si>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</si>
  <si>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</si>
  <si>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7.3.08.04</t>
  </si>
  <si>
    <t>SERVICIOS COMUNALES</t>
  </si>
  <si>
    <t>PROGRAMA</t>
  </si>
  <si>
    <t>7.1.01.06</t>
  </si>
  <si>
    <t>Salarios Unificados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</si>
  <si>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</si>
  <si>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</si>
  <si>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</si>
  <si>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</si>
  <si>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</si>
  <si>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</si>
  <si>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</si>
  <si>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DIRECTORA FINANCIERA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</si>
  <si>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</si>
  <si>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</si>
  <si>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</si>
  <si>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</si>
  <si>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</si>
  <si>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</si>
  <si>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</si>
  <si>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</si>
  <si>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</si>
  <si>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</si>
  <si>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</si>
  <si>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</si>
  <si>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</si>
  <si>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</si>
  <si>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</si>
  <si>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</si>
  <si>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</si>
  <si>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</si>
  <si>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</si>
  <si>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</si>
  <si>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</si>
  <si>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</si>
  <si>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</si>
  <si>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</si>
  <si>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</si>
  <si>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</si>
  <si>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</si>
  <si>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</si>
  <si>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</si>
  <si>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</si>
  <si>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</si>
  <si>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</si>
  <si>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</si>
  <si>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</si>
  <si>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</si>
  <si>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</si>
  <si>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</si>
  <si>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</si>
  <si>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</si>
  <si>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</si>
  <si>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</si>
  <si>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</si>
  <si>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</si>
  <si>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</si>
  <si>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</si>
  <si>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</si>
  <si>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</si>
  <si>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</si>
  <si>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</si>
  <si>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De Entidades del Gobierno Autónomo Descentralizado</t>
  </si>
  <si>
    <t>1.8.06</t>
  </si>
  <si>
    <t>APORTES Y PARTICIPACIONES CORRIENTES DEL REGIMEN SECCIONAL AUTONOMO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</si>
  <si>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</si>
  <si>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</si>
  <si>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</si>
  <si>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</si>
  <si>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</si>
  <si>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</si>
  <si>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</si>
  <si>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</si>
  <si>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</si>
  <si>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</si>
  <si>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</si>
  <si>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</si>
  <si>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5.3.06.01</t>
  </si>
  <si>
    <t>Contratación de Estudios e Investigacios</t>
  </si>
  <si>
    <t>Consultoria, Asesoría e Investigación especializada</t>
  </si>
  <si>
    <t>5.3.07.02</t>
  </si>
  <si>
    <t>Arrendamiento y Licencias de Uso de Paq. Inf</t>
  </si>
  <si>
    <t>Manten y Reparacion de Equipos y sist inform.</t>
  </si>
  <si>
    <t>5.3.08.03</t>
  </si>
  <si>
    <t>Combustibles y Lubricantes</t>
  </si>
  <si>
    <t>5.3.08.13</t>
  </si>
  <si>
    <t>Repuestos y Accesorios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</si>
  <si>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</si>
  <si>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</si>
  <si>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</si>
  <si>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</si>
  <si>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</si>
  <si>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</si>
  <si>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</si>
  <si>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Materiales Didácticos</t>
  </si>
  <si>
    <t>Gastos Permanentes</t>
  </si>
  <si>
    <t>SUBPROGRAMA V</t>
  </si>
  <si>
    <t>GRUPO I - GASTOS EN EL PERSONAL</t>
  </si>
  <si>
    <t>INGRESOS AÑO 2012</t>
  </si>
  <si>
    <t>GASTOS</t>
  </si>
  <si>
    <t>CODIGO</t>
  </si>
  <si>
    <t>7.3.02.01</t>
  </si>
  <si>
    <t>Transporte de personal</t>
  </si>
  <si>
    <t>7.3.02.06</t>
  </si>
  <si>
    <t>Enero</t>
  </si>
  <si>
    <t>mef</t>
  </si>
  <si>
    <t>mu</t>
  </si>
  <si>
    <t>ip</t>
  </si>
  <si>
    <t>Febrero</t>
  </si>
  <si>
    <t>Junio</t>
  </si>
  <si>
    <t>OTROS NO ESPECIFICADOS</t>
  </si>
  <si>
    <t>GOBIERNO PARROQUIAL DE PRINCIPAL</t>
  </si>
  <si>
    <t>TOTAL PRESUPUESTO GASTOS</t>
  </si>
  <si>
    <t>PRESIDENTE DEL GOBIERNO PARROQUIAL</t>
  </si>
  <si>
    <t>1.8.01.04</t>
  </si>
  <si>
    <t>De Gobiernos Autónomos Descentralizados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</si>
  <si>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</si>
  <si>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</si>
  <si>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</si>
  <si>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</si>
  <si>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</si>
  <si>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</si>
  <si>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</si>
  <si>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</si>
  <si>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</si>
  <si>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</si>
  <si>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</si>
  <si>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</si>
  <si>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</si>
  <si>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</si>
  <si>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</si>
  <si>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</si>
  <si>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</si>
  <si>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</si>
  <si>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</si>
  <si>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</si>
  <si>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</si>
  <si>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</si>
  <si>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</si>
  <si>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</si>
  <si>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</si>
  <si>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</si>
  <si>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</si>
  <si>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</si>
  <si>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</si>
  <si>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</si>
  <si>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</si>
  <si>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</si>
  <si>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</si>
  <si>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</si>
  <si>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</si>
  <si>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</si>
  <si>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</si>
  <si>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</si>
  <si>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</si>
  <si>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</si>
  <si>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</si>
  <si>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</si>
  <si>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TOTAL PARA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</si>
  <si>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</si>
  <si>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</si>
  <si>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</si>
  <si>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</si>
  <si>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</si>
  <si>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</si>
  <si>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</si>
  <si>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</si>
  <si>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</si>
  <si>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</si>
  <si>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</si>
  <si>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</si>
  <si>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</si>
  <si>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</si>
  <si>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</si>
  <si>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</si>
  <si>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</si>
  <si>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</si>
  <si>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</si>
  <si>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</si>
  <si>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</si>
  <si>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</si>
  <si>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</si>
  <si>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</si>
  <si>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</si>
  <si>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</si>
  <si>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</si>
  <si>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</si>
  <si>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</si>
  <si>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</si>
  <si>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</si>
  <si>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</si>
  <si>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</si>
  <si>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</si>
  <si>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</si>
  <si>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</si>
  <si>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</si>
  <si>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</si>
  <si>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</si>
  <si>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</si>
  <si>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</si>
  <si>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</si>
  <si>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</si>
  <si>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</si>
  <si>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</si>
  <si>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</si>
  <si>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</si>
  <si>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 xml:space="preserve">10% para atención a grupos vulnerable </t>
  </si>
  <si>
    <t>Bienes de Uso y Consumo de inversión</t>
  </si>
  <si>
    <t>Materiales didácticos</t>
  </si>
  <si>
    <t>7.1.07</t>
  </si>
  <si>
    <t xml:space="preserve">Indemnizaciones </t>
  </si>
  <si>
    <t>7.1.07.04</t>
  </si>
  <si>
    <t>Compesnsación por desahucio</t>
  </si>
  <si>
    <t>Arrendamiento de bienes</t>
  </si>
  <si>
    <t>Remuneraciones temporales</t>
  </si>
  <si>
    <t>Jornales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</si>
  <si>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</si>
  <si>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</si>
  <si>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</si>
  <si>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</si>
  <si>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</si>
  <si>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</si>
  <si>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Gprinci-1953contrase</t>
  </si>
  <si>
    <t>celel</t>
  </si>
  <si>
    <t>alquiler de maquinaria para apertura de via alisal alto</t>
  </si>
  <si>
    <t xml:space="preserve">cubierta cancha de uso multiple </t>
  </si>
  <si>
    <t>principal</t>
  </si>
  <si>
    <t>Mgs. Segundo Cambizaca</t>
  </si>
  <si>
    <t>3.8.01.08</t>
  </si>
  <si>
    <t>Cuentas por cobrar</t>
  </si>
  <si>
    <t>De Anticipos de Fondos por Devengar</t>
  </si>
  <si>
    <t>2.08.01.01</t>
  </si>
  <si>
    <t>Del Gobierno central</t>
  </si>
  <si>
    <t>Del Gobierno Central</t>
  </si>
  <si>
    <t>PROGRAMA II</t>
  </si>
  <si>
    <t>FUNCION III</t>
  </si>
  <si>
    <t>7.5.01</t>
  </si>
  <si>
    <t>7.5</t>
  </si>
  <si>
    <t>PRODUCCION AGROPECUARIA</t>
  </si>
  <si>
    <t>Serrucho de podar con sierra curva</t>
  </si>
  <si>
    <t>Sulfato de cobre</t>
  </si>
  <si>
    <t>Azufre umectable</t>
  </si>
  <si>
    <t>Abono folear</t>
  </si>
  <si>
    <t>7.3.08.14.02</t>
  </si>
  <si>
    <t>7.3.08.14.07</t>
  </si>
  <si>
    <t>7.3.08.14.08</t>
  </si>
  <si>
    <t>7.3.08.14.10</t>
  </si>
  <si>
    <t>7.3.08.14.11</t>
  </si>
  <si>
    <t>7.3.08.14.16</t>
  </si>
  <si>
    <t>7.3.08.14.17</t>
  </si>
  <si>
    <t>Servicios profesionales por contrato</t>
  </si>
  <si>
    <t>FUNCION</t>
  </si>
  <si>
    <t>7.3.15</t>
  </si>
  <si>
    <t>POLITICO INSTITUCIONAL</t>
  </si>
  <si>
    <t>PROYECTO</t>
  </si>
  <si>
    <t>7.3.06.01</t>
  </si>
  <si>
    <t>Bienes y servicios para Inversión</t>
  </si>
  <si>
    <t>Contrataciones de estudios, investigaciones y servicios técnicos especializados</t>
  </si>
  <si>
    <t>PROYECTO: Limpieza y mantenimiento de la infraestructura parroquial y asesoría técnica.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</si>
  <si>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</si>
  <si>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</si>
  <si>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</si>
  <si>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</si>
  <si>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</si>
  <si>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</si>
  <si>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Sierra para podar plegable</t>
  </si>
  <si>
    <t>7.3.06.6</t>
  </si>
  <si>
    <t>7.3.05.05</t>
  </si>
  <si>
    <t>7.3.08.11</t>
  </si>
  <si>
    <t>Sra. Ximena Castro</t>
  </si>
  <si>
    <t>SECRETARIA TESORERA G.P.P</t>
  </si>
  <si>
    <t>Fertilizantes orgánicos (elaboración)</t>
  </si>
  <si>
    <t xml:space="preserve">FUNCION </t>
  </si>
  <si>
    <t xml:space="preserve">PROGRAMA IV </t>
  </si>
  <si>
    <t>PROGRAMA V</t>
  </si>
  <si>
    <t>PROGRAMA VIII</t>
  </si>
  <si>
    <t>PROGRAMA IX</t>
  </si>
  <si>
    <t>ESTIMACION PROVISIONAL INGRESOS  AÑO 2016</t>
  </si>
  <si>
    <t>arriendo licencia informatico y pagina web</t>
  </si>
  <si>
    <t>Adecentamiento plaza central</t>
  </si>
  <si>
    <t xml:space="preserve">Intercambio de saberes ancestrales </t>
  </si>
  <si>
    <t>Proyecto de recreación para el adulto mayor</t>
  </si>
  <si>
    <t>Fortalecimiento de la Organización local</t>
  </si>
  <si>
    <t>Identificar y construir equipamientos y mantener espacios públicos</t>
  </si>
  <si>
    <t>Gestión de desechos sólidos</t>
  </si>
  <si>
    <t>Principal participa en su cambio</t>
  </si>
  <si>
    <t>Agroturismo</t>
  </si>
  <si>
    <t>Fortalecmiento de la paroducción frutícola</t>
  </si>
  <si>
    <t>Plan de intervención vial</t>
  </si>
  <si>
    <t>Difusión y concientización de normas parroquiales y municipales</t>
  </si>
  <si>
    <t>Actualización de normativa parroquial</t>
  </si>
  <si>
    <t>Proyecto de restauración ambiental</t>
  </si>
  <si>
    <t>Fiestas manzana</t>
  </si>
  <si>
    <t>Aniversario</t>
  </si>
  <si>
    <t>Cartelones</t>
  </si>
  <si>
    <t>Senderos</t>
  </si>
  <si>
    <t>PROYECTOS</t>
  </si>
  <si>
    <t>FORTALECIMIENTO ORGANIZACIONAL LOCAL</t>
  </si>
  <si>
    <t>PROYECTO: RECREACION PARA EL ADULTO MAYOR</t>
  </si>
  <si>
    <t>PROYECTO: REGENERACION Y RECUPERACION DE AREAS DEGRADADAS EN LA PARROQUIA PRINCIPAL</t>
  </si>
  <si>
    <t>RECUPERACION DEL PATRIMONIO NATURAL</t>
  </si>
  <si>
    <t>EQUIPAMIENTOS</t>
  </si>
  <si>
    <t>CONVENIOS</t>
  </si>
  <si>
    <t>Convenios</t>
  </si>
  <si>
    <t>PROYECTO: FORTALECIMIENTO DE LA ORGANIZACIÓN LOCAL</t>
  </si>
  <si>
    <t>PROYECTO: PRINCIPAL PARTICIPA DE SU CAMBIO CON EVENTOS SOCIALES,  CULTURALES  Y DEPORTIVOS</t>
  </si>
  <si>
    <t>Servicio de internet</t>
  </si>
  <si>
    <t>TURISMO EN PRINCIPAL</t>
  </si>
  <si>
    <t>PROYECTO: DESARROLLO AGROTURISTICO EN PRINCIPAL</t>
  </si>
  <si>
    <t xml:space="preserve">PROYECTO: Fortalecimiento de la producción frutícola </t>
  </si>
  <si>
    <t>FORTALECIMIENTO ECONOMICO DE LA PARROQUIA</t>
  </si>
  <si>
    <t>PROGRAMA: PLANIFICACION SECTORIAL</t>
  </si>
  <si>
    <t>DIFUSION Y CONCIENTIZACION DE NORMAS PARROQUIALES Y MUNICIPALES</t>
  </si>
  <si>
    <t>APOYO A LA GESTION PARROQUIAL DEL TERRITORIO</t>
  </si>
  <si>
    <t>ACTUALIZACION DE LA NORMATIVA PARROQUIAL</t>
  </si>
  <si>
    <t>5.3.01.05.01</t>
  </si>
  <si>
    <t>7</t>
  </si>
  <si>
    <t>GASTOS DE INVERSION</t>
  </si>
  <si>
    <t>Vehiculos (Arrendamiento)</t>
  </si>
  <si>
    <t>Servicios de Capacitacion</t>
  </si>
  <si>
    <t>Materiales didacticos</t>
  </si>
  <si>
    <t xml:space="preserve"> </t>
  </si>
  <si>
    <t>7.3.02.18</t>
  </si>
  <si>
    <t>Publicidad y Propaganda en medios de comunicación masiva</t>
  </si>
  <si>
    <t>7.3.02.19</t>
  </si>
  <si>
    <t>Publicidad y Propaganda en otros medios</t>
  </si>
  <si>
    <t>7.1.05.03</t>
  </si>
  <si>
    <t>Obras de Infraestructura</t>
  </si>
  <si>
    <t>7.5.01.04</t>
  </si>
  <si>
    <t>Bienes biologicos no depreciables</t>
  </si>
  <si>
    <t>7.3.15.15.1</t>
  </si>
  <si>
    <t>Plantas forestales</t>
  </si>
  <si>
    <t>73.02</t>
  </si>
  <si>
    <t>servicios en plantaciones forestales</t>
  </si>
  <si>
    <t>coronado</t>
  </si>
  <si>
    <t>PROYECTO: INTERCAMBIO DE SABERES ANCESTRALES Y PROTECCION DE DERECHOS NIÑOS, NIÑAS, ADOLESCENTES Y PERSONAS CON DISCAPACIDAD</t>
  </si>
  <si>
    <t>Vestuario, lensería, prendas de protección, accesorios para uniformes militares y policiales; y carpas (PONCHOS)</t>
  </si>
  <si>
    <t>Vehiculos (Arrendamientos)</t>
  </si>
  <si>
    <t xml:space="preserve">Asignaciones a distribuir </t>
  </si>
  <si>
    <t>7.5.99</t>
  </si>
  <si>
    <t>7.5.99.01</t>
  </si>
  <si>
    <t>Eventos públicos  y oficiales por  aniversario de parroquialización</t>
  </si>
  <si>
    <t>7.3.02.05</t>
  </si>
  <si>
    <t>Publicidad y propaganda usando otros medios (rótulos publicitarios)</t>
  </si>
  <si>
    <t xml:space="preserve">Jornales </t>
  </si>
  <si>
    <t>PROYECTO: PLAN DE GESTIÓN PARA LA RED VIAL</t>
  </si>
  <si>
    <t>Maquinaria y equipos (Arrendamiento para el mantenimiento vial con tasa solidaria)</t>
  </si>
  <si>
    <t>7.3.05.04</t>
  </si>
  <si>
    <t>JOSE LUIS PEREZ RUIZ</t>
  </si>
  <si>
    <t>TECNICO</t>
  </si>
  <si>
    <t>7.1.02.06</t>
  </si>
  <si>
    <t>Fondos de reserva</t>
  </si>
  <si>
    <t>73.02.36</t>
  </si>
  <si>
    <t>Aceite agrícola</t>
  </si>
  <si>
    <t xml:space="preserve">Combustibles y lubricantes </t>
  </si>
  <si>
    <t>Maquinarías y equipos (Instalación, mantenimiento y reparaciones)</t>
  </si>
  <si>
    <t xml:space="preserve">Servicios personales por contrato </t>
  </si>
  <si>
    <t>7,.1</t>
  </si>
  <si>
    <t>Insumos, bienes, materiales y suministros para la contrucción, eléctricos, plomería, carpintería,señalización víal, navegación y contra incendios (materiales de construccion para adecuacion de la cancha de bolly).</t>
  </si>
  <si>
    <t>Obras públicas</t>
  </si>
  <si>
    <t>De Urbanizacion y Embellecimiento (juegos infantiles)</t>
  </si>
  <si>
    <t>Bienes y servicios de inversión</t>
  </si>
  <si>
    <t>Gastos en personal para inversión</t>
  </si>
  <si>
    <t>Contrataciones de Estudios, Investigaciones y Servicios Técnicos Epecializados</t>
  </si>
  <si>
    <t>Bienes y servicios para inversión</t>
  </si>
  <si>
    <t>Consultoría, Asesoría e Investigación Especializada (seguridad)</t>
  </si>
  <si>
    <t>Jornales para adecentamiento de senderos (sector el Quingo)</t>
  </si>
  <si>
    <t>Insumos, bienes, materiales y suministros para la contrucción, eléctricos, plomería, carpintería,señalización víal, navegación y contra incendios (construccion y señalización de senderos en el sector el Quingo).</t>
  </si>
  <si>
    <t>Asignaciones a distribuir para obra pública (convenios)</t>
  </si>
  <si>
    <t>5</t>
  </si>
  <si>
    <t>Bienes y servicio de inversión</t>
  </si>
  <si>
    <t>Bienes de servicio de inversión</t>
  </si>
  <si>
    <t>GASTOS CORRIENTES</t>
  </si>
  <si>
    <t>PROFORMA PRESUPUESTARIA AÑO 2016</t>
  </si>
  <si>
    <t>CALCULO ESTIMADO DE INGRESOS 2016</t>
  </si>
  <si>
    <t>ESTIMACION  DE INGRESOS AÑO 2016</t>
  </si>
  <si>
    <t>PROYECTO: ADENCENTAMIENTO DE LA PLAZA CENTRAL</t>
  </si>
  <si>
    <t>DISTRIBUTIVO DE SUELDOS AÑO 2016</t>
  </si>
  <si>
    <t>AGUA POTABLE Y ALCANTARILLADO</t>
  </si>
  <si>
    <t>PROYECTO: Alcantarillado y letrinización en Celel y Principal</t>
  </si>
  <si>
    <t>7.1.05.03.03</t>
  </si>
  <si>
    <t>7.3.05.04.03</t>
  </si>
  <si>
    <t>Maquinaria y equipos para alcantarillado en Gauzal-Tablahuaico</t>
  </si>
  <si>
    <t>7.3.08.11.03</t>
  </si>
  <si>
    <t>Materiales de construcción para alcantarillado en Gauzal-Tablahuaico.</t>
  </si>
  <si>
    <t xml:space="preserve">Del presupuesto general de Estado a Gobiernos Autonomos Descentralizados </t>
  </si>
  <si>
    <t>PROYECTO: Actualización del Plan de Desarrollo y Ordenamiento Territorial de Principal</t>
  </si>
  <si>
    <t>GRUPO I -  BIENES Y SERVICIOS PARA INVERSION</t>
  </si>
  <si>
    <t>Consultoría para actualización del Plan de desarrollo y Ordenamineto Territorial</t>
  </si>
  <si>
    <t>AGUA Y AMBIENTE</t>
  </si>
  <si>
    <t>PROGRAMA VII</t>
  </si>
  <si>
    <t>EDUCACION AMBIENTAL Y MANEJO DE DESECHOS SÓLIDOS</t>
  </si>
  <si>
    <t>PROYECTO: GESTION DE DESECHOS SOLIDOS POR PARTE DE INSTITUCIONES EDUCATIVAS</t>
  </si>
  <si>
    <t>7.1.01.03</t>
  </si>
  <si>
    <t>Jornales (colocacion de basureros)</t>
  </si>
  <si>
    <t>7.3.08.11.01</t>
  </si>
  <si>
    <t>Materiales de construcción (basureros)</t>
  </si>
  <si>
    <t>PROYECTO: CONSTRUCCION  DE BAÑOS Y COLOCACION DE JUEGOS INFANTILES EN EL SECTOR DE ALIZAL</t>
  </si>
  <si>
    <t xml:space="preserve">Obras de Infraestructura </t>
  </si>
  <si>
    <t>7.5.01.99</t>
  </si>
  <si>
    <t>De Urbanizacion y Embellecimiento (Juegos para niños)</t>
  </si>
  <si>
    <t>Otras obras de Infraestructura (Construccion de baños en el sector de Alizal)</t>
  </si>
  <si>
    <t>Insumos, bienes, materiales y suministros para la contrucción, eléctricos, plomería, carpintería,señalización víal, navegación y contra incendios (materiales de construccion para el mantenimiento vial).</t>
  </si>
  <si>
    <t>Telecomunicaciones (servicio telefonico e Internet)</t>
  </si>
  <si>
    <t>8.4.01</t>
  </si>
  <si>
    <t>Equipos, Sistemas y Paquetes informaticos (Adquisicion de una impresora)</t>
  </si>
  <si>
    <t>Bienes Muebles</t>
  </si>
  <si>
    <t>2.8.10.03</t>
  </si>
  <si>
    <t>Bienes muebles</t>
  </si>
  <si>
    <t>8.4.01.03</t>
  </si>
  <si>
    <t>Mobiliario</t>
  </si>
  <si>
    <t>Activos de larga duración</t>
  </si>
  <si>
    <t xml:space="preserve">Espectáculos culturales y sociales </t>
  </si>
  <si>
    <t>7.3.08.99</t>
  </si>
  <si>
    <t>Otros bienes de uso y consumo de Inversion</t>
  </si>
  <si>
    <t>Bienes de consumo y Consumo de Inversion</t>
  </si>
  <si>
    <t>APLICACIÓN DEL FINANCIAMIENTO</t>
  </si>
  <si>
    <t>9.7</t>
  </si>
  <si>
    <t>GRUPO I PASIVO CIRCULANTE</t>
  </si>
  <si>
    <t>9.7.0.1</t>
  </si>
  <si>
    <t>Deuda Flotante</t>
  </si>
  <si>
    <t>9.7.01.01</t>
  </si>
  <si>
    <t>De cuentas por pagar</t>
  </si>
  <si>
    <t>Q</t>
  </si>
  <si>
    <t>5.3.14</t>
  </si>
  <si>
    <t>5.3.14.07</t>
  </si>
  <si>
    <t>5.1.05.10</t>
  </si>
  <si>
    <t>}</t>
  </si>
  <si>
    <t>5.8.0.1.04</t>
  </si>
  <si>
    <t>A Entidades del Gobierno Seccional</t>
  </si>
  <si>
    <t>3.7.01.01</t>
  </si>
  <si>
    <t>De fondos del banco central</t>
  </si>
  <si>
    <t>PROYECTO: Estudios Electricos de la plazoleta de la comunidad de Celel y el parque Alizal</t>
  </si>
  <si>
    <t>7.3.06.05</t>
  </si>
  <si>
    <t>Estudio y diseño deproyectos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</si>
</sst>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0000"/>
    <numFmt numFmtId="168" formatCode="#,##0.000000000"/>
    <numFmt numFmtId="169" formatCode="#,##0.0000"/>
    <numFmt numFmtId="170" formatCode="#,##0.00000"/>
    <numFmt numFmtId="171" formatCode="0.0000000000"/>
    <numFmt numFmtId="172" formatCode="#,##0.0000000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TimesNewRoma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9" fontId="19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9" fontId="20" fillId="0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0" fontId="19" fillId="0" borderId="0" xfId="0" applyFont="1"/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3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2" fillId="0" borderId="0" xfId="0" applyFont="1" applyBorder="1"/>
    <xf numFmtId="0" fontId="23" fillId="0" borderId="0" xfId="0" applyFont="1"/>
    <xf numFmtId="4" fontId="23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4" fillId="0" borderId="1" xfId="0" applyFont="1" applyBorder="1"/>
    <xf numFmtId="0" fontId="23" fillId="0" borderId="1" xfId="0" applyFont="1" applyBorder="1"/>
    <xf numFmtId="165" fontId="2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4" fillId="0" borderId="1" xfId="9" applyFont="1" applyBorder="1"/>
    <xf numFmtId="0" fontId="2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6" fillId="0" borderId="0" xfId="7" applyFont="1" applyFill="1" applyBorder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19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8" fontId="10" fillId="0" borderId="0" xfId="0" applyNumberFormat="1" applyFont="1"/>
    <xf numFmtId="167" fontId="5" fillId="0" borderId="0" xfId="0" applyNumberFormat="1" applyFont="1"/>
    <xf numFmtId="0" fontId="27" fillId="0" borderId="0" xfId="0" applyFont="1" applyFill="1" applyBorder="1" applyAlignment="1"/>
    <xf numFmtId="0" fontId="27" fillId="0" borderId="0" xfId="0" applyFont="1" applyFill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9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0" fontId="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165" fontId="32" fillId="0" borderId="1" xfId="1" applyNumberFormat="1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35" fillId="0" borderId="1" xfId="0" applyFont="1" applyFill="1" applyBorder="1" applyAlignment="1">
      <alignment wrapText="1"/>
    </xf>
    <xf numFmtId="165" fontId="35" fillId="0" borderId="1" xfId="1" applyNumberFormat="1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5" fontId="31" fillId="0" borderId="1" xfId="1" applyNumberFormat="1" applyFont="1" applyFill="1" applyBorder="1" applyAlignment="1">
      <alignment wrapText="1"/>
    </xf>
    <xf numFmtId="0" fontId="33" fillId="0" borderId="1" xfId="0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43" fontId="2" fillId="0" borderId="0" xfId="10" applyFont="1"/>
    <xf numFmtId="0" fontId="11" fillId="0" borderId="1" xfId="0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3" fillId="0" borderId="1" xfId="0" applyNumberFormat="1" applyFont="1" applyBorder="1"/>
    <xf numFmtId="0" fontId="28" fillId="0" borderId="0" xfId="0" applyFont="1"/>
    <xf numFmtId="0" fontId="0" fillId="0" borderId="0" xfId="0" applyFont="1"/>
    <xf numFmtId="0" fontId="28" fillId="0" borderId="0" xfId="0" applyFont="1" applyAlignment="1">
      <alignment horizontal="center"/>
    </xf>
    <xf numFmtId="0" fontId="36" fillId="0" borderId="1" xfId="0" applyFont="1" applyFill="1" applyBorder="1" applyAlignment="1">
      <alignment vertical="center" readingOrder="1"/>
    </xf>
    <xf numFmtId="2" fontId="29" fillId="5" borderId="1" xfId="0" applyNumberFormat="1" applyFont="1" applyFill="1" applyBorder="1" applyAlignment="1">
      <alignment wrapText="1"/>
    </xf>
    <xf numFmtId="0" fontId="29" fillId="0" borderId="1" xfId="0" applyFont="1" applyBorder="1"/>
    <xf numFmtId="2" fontId="29" fillId="6" borderId="1" xfId="0" applyNumberFormat="1" applyFont="1" applyFill="1" applyBorder="1"/>
    <xf numFmtId="1" fontId="0" fillId="0" borderId="0" xfId="0" applyNumberFormat="1"/>
    <xf numFmtId="0" fontId="37" fillId="5" borderId="1" xfId="0" applyFont="1" applyFill="1" applyBorder="1"/>
    <xf numFmtId="2" fontId="37" fillId="5" borderId="1" xfId="0" applyNumberFormat="1" applyFont="1" applyFill="1" applyBorder="1"/>
    <xf numFmtId="9" fontId="0" fillId="0" borderId="0" xfId="0" applyNumberFormat="1"/>
    <xf numFmtId="2" fontId="0" fillId="0" borderId="0" xfId="0" applyNumberFormat="1" applyFill="1" applyBorder="1"/>
    <xf numFmtId="43" fontId="0" fillId="0" borderId="0" xfId="0" applyNumberFormat="1" applyFont="1"/>
    <xf numFmtId="4" fontId="29" fillId="6" borderId="1" xfId="0" applyNumberFormat="1" applyFont="1" applyFill="1" applyBorder="1"/>
    <xf numFmtId="43" fontId="28" fillId="0" borderId="0" xfId="0" applyNumberFormat="1" applyFont="1"/>
    <xf numFmtId="2" fontId="37" fillId="0" borderId="1" xfId="0" applyNumberFormat="1" applyFont="1" applyBorder="1"/>
    <xf numFmtId="0" fontId="37" fillId="0" borderId="1" xfId="0" applyFont="1" applyBorder="1"/>
    <xf numFmtId="2" fontId="28" fillId="0" borderId="0" xfId="0" applyNumberFormat="1" applyFont="1"/>
    <xf numFmtId="0" fontId="28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8" fillId="8" borderId="0" xfId="0" applyFont="1" applyFill="1"/>
    <xf numFmtId="9" fontId="28" fillId="8" borderId="0" xfId="0" applyNumberFormat="1" applyFont="1" applyFill="1"/>
    <xf numFmtId="0" fontId="0" fillId="8" borderId="0" xfId="0" applyFill="1"/>
    <xf numFmtId="2" fontId="0" fillId="8" borderId="0" xfId="0" applyNumberFormat="1" applyFill="1"/>
    <xf numFmtId="2" fontId="28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2" fontId="0" fillId="7" borderId="0" xfId="0" applyNumberFormat="1" applyFill="1"/>
    <xf numFmtId="2" fontId="28" fillId="5" borderId="0" xfId="0" applyNumberFormat="1" applyFont="1" applyFill="1"/>
    <xf numFmtId="2" fontId="28" fillId="7" borderId="0" xfId="0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8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0" fillId="2" borderId="1" xfId="0" applyFont="1" applyFill="1" applyBorder="1" applyAlignment="1">
      <alignment horizontal="justify" vertical="center"/>
    </xf>
    <xf numFmtId="0" fontId="28" fillId="0" borderId="0" xfId="0" applyFont="1" applyAlignment="1"/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49" fontId="20" fillId="0" borderId="19" xfId="0" applyNumberFormat="1" applyFont="1" applyFill="1" applyBorder="1" applyAlignment="1">
      <alignment horizontal="right"/>
    </xf>
    <xf numFmtId="0" fontId="20" fillId="0" borderId="19" xfId="0" applyFont="1" applyFill="1" applyBorder="1" applyAlignment="1">
      <alignment wrapText="1"/>
    </xf>
    <xf numFmtId="49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wrapText="1"/>
    </xf>
    <xf numFmtId="2" fontId="0" fillId="2" borderId="0" xfId="9" applyNumberFormat="1" applyFont="1" applyFill="1"/>
    <xf numFmtId="0" fontId="28" fillId="0" borderId="0" xfId="0" applyFont="1" applyAlignment="1">
      <alignment horizontal="center"/>
    </xf>
    <xf numFmtId="43" fontId="2" fillId="0" borderId="1" xfId="10" applyFont="1" applyBorder="1"/>
    <xf numFmtId="43" fontId="11" fillId="0" borderId="1" xfId="10" applyFont="1" applyBorder="1"/>
    <xf numFmtId="43" fontId="33" fillId="0" borderId="1" xfId="10" applyFont="1" applyBorder="1" applyAlignment="1">
      <alignment wrapText="1"/>
    </xf>
    <xf numFmtId="43" fontId="35" fillId="0" borderId="1" xfId="10" applyFont="1" applyFill="1" applyBorder="1" applyAlignment="1">
      <alignment wrapText="1"/>
    </xf>
    <xf numFmtId="4" fontId="28" fillId="0" borderId="0" xfId="0" applyNumberFormat="1" applyFont="1"/>
    <xf numFmtId="4" fontId="0" fillId="0" borderId="0" xfId="0" applyNumberFormat="1" applyFont="1"/>
    <xf numFmtId="43" fontId="28" fillId="0" borderId="0" xfId="0" applyNumberFormat="1" applyFont="1" applyAlignment="1">
      <alignment horizontal="center"/>
    </xf>
    <xf numFmtId="171" fontId="0" fillId="0" borderId="0" xfId="0" applyNumberFormat="1"/>
    <xf numFmtId="49" fontId="19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right" vertical="top"/>
    </xf>
    <xf numFmtId="49" fontId="19" fillId="0" borderId="3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49" fontId="19" fillId="0" borderId="3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wrapText="1"/>
    </xf>
    <xf numFmtId="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19" fillId="0" borderId="1" xfId="0" applyFont="1" applyFill="1" applyBorder="1"/>
    <xf numFmtId="0" fontId="4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28" fillId="5" borderId="0" xfId="0" applyNumberFormat="1" applyFont="1" applyFill="1"/>
    <xf numFmtId="0" fontId="7" fillId="13" borderId="1" xfId="7" applyFont="1" applyFill="1" applyBorder="1" applyAlignment="1">
      <alignment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wrapText="1"/>
    </xf>
    <xf numFmtId="0" fontId="19" fillId="13" borderId="1" xfId="0" applyFont="1" applyFill="1" applyBorder="1" applyAlignment="1">
      <alignment wrapText="1"/>
    </xf>
    <xf numFmtId="0" fontId="28" fillId="14" borderId="0" xfId="0" applyFont="1" applyFill="1"/>
    <xf numFmtId="2" fontId="28" fillId="14" borderId="0" xfId="0" applyNumberFormat="1" applyFont="1" applyFill="1"/>
    <xf numFmtId="0" fontId="19" fillId="13" borderId="0" xfId="0" applyFont="1" applyFill="1"/>
    <xf numFmtId="0" fontId="19" fillId="13" borderId="3" xfId="0" applyFont="1" applyFill="1" applyBorder="1" applyAlignment="1">
      <alignment wrapText="1"/>
    </xf>
    <xf numFmtId="0" fontId="19" fillId="13" borderId="0" xfId="0" applyFont="1" applyFill="1" applyBorder="1" applyAlignment="1">
      <alignment wrapText="1"/>
    </xf>
    <xf numFmtId="0" fontId="7" fillId="13" borderId="3" xfId="7" applyFont="1" applyFill="1" applyBorder="1" applyAlignment="1">
      <alignment wrapText="1"/>
    </xf>
    <xf numFmtId="49" fontId="20" fillId="14" borderId="1" xfId="0" applyNumberFormat="1" applyFont="1" applyFill="1" applyBorder="1" applyAlignment="1">
      <alignment horizontal="right"/>
    </xf>
    <xf numFmtId="0" fontId="20" fillId="14" borderId="1" xfId="0" applyFont="1" applyFill="1" applyBorder="1" applyAlignment="1">
      <alignment wrapText="1"/>
    </xf>
    <xf numFmtId="49" fontId="47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wrapText="1"/>
    </xf>
    <xf numFmtId="2" fontId="20" fillId="0" borderId="1" xfId="0" applyNumberFormat="1" applyFont="1" applyFill="1" applyBorder="1"/>
    <xf numFmtId="0" fontId="47" fillId="0" borderId="0" xfId="0" applyFont="1"/>
    <xf numFmtId="0" fontId="49" fillId="0" borderId="1" xfId="7" applyFont="1" applyFill="1" applyBorder="1" applyAlignment="1">
      <alignment wrapText="1"/>
    </xf>
    <xf numFmtId="2" fontId="19" fillId="0" borderId="1" xfId="0" applyNumberFormat="1" applyFont="1" applyFill="1" applyBorder="1"/>
    <xf numFmtId="0" fontId="47" fillId="0" borderId="1" xfId="0" applyFont="1" applyBorder="1" applyAlignment="1">
      <alignment horizontal="right"/>
    </xf>
    <xf numFmtId="0" fontId="47" fillId="0" borderId="1" xfId="0" applyFont="1" applyFill="1" applyBorder="1"/>
    <xf numFmtId="0" fontId="19" fillId="0" borderId="0" xfId="0" applyFont="1" applyFill="1"/>
    <xf numFmtId="4" fontId="20" fillId="0" borderId="0" xfId="0" applyNumberFormat="1" applyFont="1" applyFill="1"/>
    <xf numFmtId="0" fontId="49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2" fontId="20" fillId="0" borderId="0" xfId="0" applyNumberFormat="1" applyFont="1"/>
    <xf numFmtId="49" fontId="49" fillId="0" borderId="1" xfId="0" applyNumberFormat="1" applyFont="1" applyFill="1" applyBorder="1" applyAlignment="1">
      <alignment horizontal="right"/>
    </xf>
    <xf numFmtId="2" fontId="49" fillId="0" borderId="1" xfId="0" applyNumberFormat="1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0" fontId="19" fillId="0" borderId="1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2" fontId="21" fillId="0" borderId="0" xfId="0" applyNumberFormat="1" applyFont="1" applyFill="1" applyBorder="1" applyAlignment="1">
      <alignment horizontal="center"/>
    </xf>
    <xf numFmtId="2" fontId="19" fillId="13" borderId="1" xfId="0" applyNumberFormat="1" applyFont="1" applyFill="1" applyBorder="1"/>
    <xf numFmtId="2" fontId="20" fillId="0" borderId="0" xfId="0" applyNumberFormat="1" applyFont="1" applyFill="1"/>
    <xf numFmtId="0" fontId="47" fillId="14" borderId="1" xfId="0" applyFont="1" applyFill="1" applyBorder="1" applyAlignment="1">
      <alignment wrapText="1"/>
    </xf>
    <xf numFmtId="49" fontId="19" fillId="14" borderId="1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wrapText="1"/>
    </xf>
    <xf numFmtId="0" fontId="20" fillId="0" borderId="20" xfId="0" applyFont="1" applyFill="1" applyBorder="1"/>
    <xf numFmtId="4" fontId="20" fillId="0" borderId="20" xfId="0" applyNumberFormat="1" applyFont="1" applyFill="1" applyBorder="1"/>
    <xf numFmtId="0" fontId="49" fillId="0" borderId="1" xfId="7" applyFont="1" applyFill="1" applyBorder="1" applyAlignment="1">
      <alignment horizontal="right"/>
    </xf>
    <xf numFmtId="0" fontId="19" fillId="1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0" fontId="48" fillId="0" borderId="20" xfId="0" applyFont="1" applyFill="1" applyBorder="1"/>
    <xf numFmtId="4" fontId="48" fillId="0" borderId="20" xfId="0" applyNumberFormat="1" applyFont="1" applyFill="1" applyBorder="1"/>
    <xf numFmtId="0" fontId="47" fillId="14" borderId="1" xfId="0" applyFont="1" applyFill="1" applyBorder="1"/>
    <xf numFmtId="0" fontId="19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0" xfId="0" applyFont="1" applyFill="1" applyAlignment="1">
      <alignment horizontal="right"/>
    </xf>
    <xf numFmtId="0" fontId="20" fillId="0" borderId="1" xfId="0" applyFont="1" applyBorder="1"/>
    <xf numFmtId="0" fontId="19" fillId="13" borderId="1" xfId="0" applyFont="1" applyFill="1" applyBorder="1" applyAlignment="1">
      <alignment horizontal="left" wrapText="1"/>
    </xf>
    <xf numFmtId="49" fontId="7" fillId="0" borderId="16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wrapText="1"/>
    </xf>
    <xf numFmtId="2" fontId="7" fillId="0" borderId="16" xfId="0" applyNumberFormat="1" applyFont="1" applyFill="1" applyBorder="1"/>
    <xf numFmtId="0" fontId="19" fillId="13" borderId="18" xfId="0" applyFont="1" applyFill="1" applyBorder="1" applyAlignment="1">
      <alignment wrapText="1"/>
    </xf>
    <xf numFmtId="2" fontId="20" fillId="0" borderId="1" xfId="0" applyNumberFormat="1" applyFont="1" applyBorder="1"/>
    <xf numFmtId="0" fontId="6" fillId="0" borderId="1" xfId="0" applyFont="1" applyBorder="1"/>
    <xf numFmtId="2" fontId="20" fillId="0" borderId="0" xfId="0" applyNumberFormat="1" applyFont="1" applyBorder="1"/>
    <xf numFmtId="172" fontId="2" fillId="0" borderId="0" xfId="0" applyNumberFormat="1" applyFont="1"/>
    <xf numFmtId="4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9" fontId="5" fillId="0" borderId="0" xfId="9" applyFont="1" applyBorder="1"/>
    <xf numFmtId="9" fontId="2" fillId="0" borderId="0" xfId="9" applyFont="1" applyBorder="1"/>
    <xf numFmtId="0" fontId="5" fillId="0" borderId="0" xfId="0" applyFont="1" applyBorder="1"/>
    <xf numFmtId="9" fontId="24" fillId="0" borderId="0" xfId="9" applyFont="1" applyBorder="1"/>
    <xf numFmtId="0" fontId="30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 wrapText="1"/>
    </xf>
    <xf numFmtId="0" fontId="33" fillId="0" borderId="1" xfId="0" applyFont="1" applyBorder="1" applyAlignment="1">
      <alignment horizontal="right" wrapText="1"/>
    </xf>
    <xf numFmtId="49" fontId="34" fillId="0" borderId="1" xfId="0" applyNumberFormat="1" applyFont="1" applyBorder="1" applyAlignment="1">
      <alignment horizontal="right" wrapText="1"/>
    </xf>
    <xf numFmtId="0" fontId="31" fillId="0" borderId="1" xfId="5" applyFont="1" applyBorder="1" applyAlignment="1">
      <alignment horizontal="right" wrapText="1"/>
    </xf>
    <xf numFmtId="0" fontId="35" fillId="0" borderId="1" xfId="7" applyFont="1" applyBorder="1" applyAlignment="1">
      <alignment horizontal="right" wrapText="1"/>
    </xf>
    <xf numFmtId="0" fontId="31" fillId="0" borderId="1" xfId="7" applyFont="1" applyBorder="1" applyAlignment="1">
      <alignment horizontal="right" wrapText="1"/>
    </xf>
    <xf numFmtId="0" fontId="32" fillId="0" borderId="1" xfId="0" applyFont="1" applyBorder="1" applyAlignment="1">
      <alignment horizontal="center" wrapText="1"/>
    </xf>
    <xf numFmtId="43" fontId="32" fillId="0" borderId="1" xfId="10" applyFont="1" applyBorder="1" applyAlignment="1">
      <alignment horizontal="right" wrapText="1"/>
    </xf>
    <xf numFmtId="165" fontId="33" fillId="0" borderId="1" xfId="0" applyNumberFormat="1" applyFont="1" applyBorder="1" applyAlignment="1">
      <alignment wrapText="1"/>
    </xf>
    <xf numFmtId="0" fontId="34" fillId="0" borderId="1" xfId="0" applyFont="1" applyBorder="1" applyAlignment="1">
      <alignment horizontal="right" wrapText="1"/>
    </xf>
    <xf numFmtId="0" fontId="20" fillId="14" borderId="0" xfId="0" applyFont="1" applyFill="1"/>
    <xf numFmtId="49" fontId="20" fillId="0" borderId="1" xfId="0" applyNumberFormat="1" applyFont="1" applyBorder="1" applyAlignment="1">
      <alignment horizontal="right"/>
    </xf>
    <xf numFmtId="2" fontId="19" fillId="0" borderId="0" xfId="0" applyNumberFormat="1" applyFont="1" applyFill="1" applyBorder="1"/>
    <xf numFmtId="2" fontId="17" fillId="0" borderId="0" xfId="0" applyNumberFormat="1" applyFont="1" applyFill="1" applyBorder="1"/>
    <xf numFmtId="2" fontId="6" fillId="0" borderId="1" xfId="7" applyNumberFormat="1" applyFont="1" applyFill="1" applyBorder="1"/>
    <xf numFmtId="2" fontId="19" fillId="0" borderId="19" xfId="0" applyNumberFormat="1" applyFont="1" applyFill="1" applyBorder="1"/>
    <xf numFmtId="2" fontId="19" fillId="0" borderId="3" xfId="0" applyNumberFormat="1" applyFont="1" applyFill="1" applyBorder="1"/>
    <xf numFmtId="2" fontId="19" fillId="13" borderId="18" xfId="0" applyNumberFormat="1" applyFont="1" applyFill="1" applyBorder="1"/>
    <xf numFmtId="2" fontId="43" fillId="0" borderId="0" xfId="0" applyNumberFormat="1" applyFont="1"/>
    <xf numFmtId="2" fontId="6" fillId="0" borderId="0" xfId="0" applyNumberFormat="1" applyFont="1" applyFill="1" applyBorder="1"/>
    <xf numFmtId="2" fontId="22" fillId="0" borderId="0" xfId="0" applyNumberFormat="1" applyFont="1" applyFill="1" applyBorder="1" applyAlignment="1">
      <alignment horizontal="center"/>
    </xf>
    <xf numFmtId="2" fontId="49" fillId="0" borderId="0" xfId="0" applyNumberFormat="1" applyFont="1" applyFill="1" applyBorder="1"/>
    <xf numFmtId="2" fontId="6" fillId="0" borderId="0" xfId="0" applyNumberFormat="1" applyFont="1"/>
    <xf numFmtId="2" fontId="6" fillId="0" borderId="19" xfId="0" applyNumberFormat="1" applyFont="1" applyFill="1" applyBorder="1"/>
    <xf numFmtId="2" fontId="6" fillId="0" borderId="3" xfId="0" applyNumberFormat="1" applyFont="1" applyFill="1" applyBorder="1"/>
    <xf numFmtId="2" fontId="6" fillId="13" borderId="1" xfId="0" applyNumberFormat="1" applyFont="1" applyFill="1" applyBorder="1"/>
    <xf numFmtId="2" fontId="7" fillId="13" borderId="1" xfId="0" applyNumberFormat="1" applyFont="1" applyFill="1" applyBorder="1"/>
    <xf numFmtId="2" fontId="6" fillId="0" borderId="0" xfId="0" applyNumberFormat="1" applyFont="1" applyFill="1"/>
    <xf numFmtId="2" fontId="7" fillId="0" borderId="18" xfId="0" applyNumberFormat="1" applyFont="1" applyFill="1" applyBorder="1"/>
    <xf numFmtId="2" fontId="7" fillId="0" borderId="1" xfId="10" applyNumberFormat="1" applyFont="1" applyFill="1" applyBorder="1"/>
    <xf numFmtId="2" fontId="6" fillId="0" borderId="1" xfId="10" applyNumberFormat="1" applyFont="1" applyFill="1" applyBorder="1"/>
    <xf numFmtId="2" fontId="6" fillId="0" borderId="0" xfId="10" applyNumberFormat="1" applyFont="1" applyFill="1" applyBorder="1"/>
    <xf numFmtId="2" fontId="7" fillId="0" borderId="0" xfId="0" applyNumberFormat="1" applyFont="1" applyFill="1"/>
    <xf numFmtId="2" fontId="6" fillId="14" borderId="1" xfId="0" applyNumberFormat="1" applyFont="1" applyFill="1" applyBorder="1"/>
    <xf numFmtId="2" fontId="49" fillId="14" borderId="1" xfId="0" applyNumberFormat="1" applyFont="1" applyFill="1" applyBorder="1"/>
    <xf numFmtId="2" fontId="7" fillId="14" borderId="1" xfId="0" applyNumberFormat="1" applyFont="1" applyFill="1" applyBorder="1"/>
    <xf numFmtId="0" fontId="7" fillId="0" borderId="1" xfId="6" applyFont="1" applyFill="1" applyBorder="1" applyAlignment="1">
      <alignment horizontal="right"/>
    </xf>
    <xf numFmtId="0" fontId="7" fillId="0" borderId="1" xfId="6" applyFont="1" applyFill="1" applyBorder="1" applyAlignment="1">
      <alignment wrapText="1"/>
    </xf>
    <xf numFmtId="0" fontId="20" fillId="0" borderId="0" xfId="0" applyNumberFormat="1" applyFont="1" applyBorder="1"/>
    <xf numFmtId="0" fontId="20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9" fillId="11" borderId="16" xfId="0" applyFont="1" applyFill="1" applyBorder="1" applyAlignment="1">
      <alignment horizontal="center" vertical="center" wrapText="1"/>
    </xf>
    <xf numFmtId="0" fontId="39" fillId="11" borderId="17" xfId="0" applyFont="1" applyFill="1" applyBorder="1" applyAlignment="1">
      <alignment horizontal="center" vertical="center" wrapText="1"/>
    </xf>
    <xf numFmtId="0" fontId="39" fillId="11" borderId="18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vertical="center" wrapText="1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100"/>
  <sheetViews>
    <sheetView tabSelected="1" topLeftCell="A25" zoomScale="90" zoomScaleNormal="90" zoomScaleSheetLayoutView="85" workbookViewId="0">
      <selection activeCell="B44" sqref="B44"/>
    </sheetView>
  </sheetViews>
  <sheetFormatPr baseColWidth="10" defaultRowHeight="14.25"/>
  <cols>
    <col min="1" max="1" width="14.28515625" style="137" customWidth="1"/>
    <col min="2" max="2" width="73.42578125" style="1" customWidth="1"/>
    <col min="3" max="3" width="14.5703125" style="2" hidden="1" customWidth="1"/>
    <col min="4" max="10" width="17.140625" style="2" hidden="1" customWidth="1"/>
    <col min="11" max="12" width="18.28515625" style="1" customWidth="1"/>
    <col min="13" max="13" width="28" style="1" customWidth="1"/>
    <col min="14" max="14" width="18.85546875" style="4" bestFit="1" customWidth="1"/>
    <col min="15" max="15" width="16.85546875" style="1" bestFit="1" customWidth="1"/>
    <col min="16" max="16" width="15.5703125" style="1" bestFit="1" customWidth="1"/>
    <col min="17" max="17" width="16.140625" style="1" customWidth="1"/>
    <col min="18" max="18" width="15.5703125" style="1" bestFit="1" customWidth="1"/>
    <col min="19" max="16384" width="11.42578125" style="1"/>
  </cols>
  <sheetData>
    <row r="1" spans="1:18" ht="20.25">
      <c r="A1" s="371" t="s">
        <v>250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8" ht="18.75">
      <c r="A2" s="372"/>
      <c r="B2" s="372"/>
      <c r="C2" s="372"/>
      <c r="D2" s="372"/>
      <c r="E2" s="372"/>
      <c r="F2" s="372"/>
      <c r="G2" s="372"/>
      <c r="H2" s="372"/>
      <c r="I2" s="372"/>
      <c r="J2" s="372"/>
    </row>
    <row r="3" spans="1:18" ht="18.75">
      <c r="A3" s="372" t="s">
        <v>514</v>
      </c>
      <c r="B3" s="372"/>
      <c r="C3" s="372"/>
      <c r="D3" s="372"/>
      <c r="E3" s="372"/>
      <c r="F3" s="372"/>
      <c r="G3" s="372"/>
      <c r="H3" s="372"/>
      <c r="I3" s="372"/>
      <c r="J3" s="372"/>
    </row>
    <row r="4" spans="1:18" ht="15">
      <c r="B4" s="145"/>
      <c r="C4" s="146"/>
      <c r="D4" s="146"/>
      <c r="E4" s="146"/>
      <c r="F4" s="146"/>
      <c r="G4" s="146"/>
      <c r="H4" s="146"/>
      <c r="I4" s="146"/>
      <c r="J4" s="146"/>
    </row>
    <row r="5" spans="1:18" ht="63">
      <c r="A5" s="328" t="s">
        <v>239</v>
      </c>
      <c r="B5" s="329" t="s">
        <v>17</v>
      </c>
      <c r="C5" s="329" t="s">
        <v>16</v>
      </c>
      <c r="D5" s="329" t="s">
        <v>15</v>
      </c>
      <c r="E5" s="329" t="s">
        <v>14</v>
      </c>
      <c r="F5" s="329">
        <v>2011</v>
      </c>
      <c r="G5" s="329">
        <v>2012</v>
      </c>
      <c r="H5" s="329">
        <v>2013</v>
      </c>
      <c r="I5" s="329">
        <v>2014</v>
      </c>
      <c r="J5" s="329" t="s">
        <v>416</v>
      </c>
      <c r="K5" s="329" t="s">
        <v>513</v>
      </c>
      <c r="L5" s="329"/>
    </row>
    <row r="6" spans="1:18" s="8" customFormat="1" ht="15.75">
      <c r="A6" s="330">
        <v>1</v>
      </c>
      <c r="B6" s="153" t="s">
        <v>13</v>
      </c>
      <c r="C6" s="154" t="e">
        <f>+C8+C12+#REF!+C17+C22+C26</f>
        <v>#REF!</v>
      </c>
      <c r="D6" s="154" t="e">
        <f>+D8+D12+#REF!+D17+D22+D26</f>
        <v>#REF!</v>
      </c>
      <c r="E6" s="154" t="e">
        <f>+E8+E12+#REF!+E17+E22+E26</f>
        <v>#REF!</v>
      </c>
      <c r="F6" s="154"/>
      <c r="G6" s="154"/>
      <c r="H6" s="154"/>
      <c r="I6" s="154"/>
      <c r="J6" s="154">
        <f>+J22+J26</f>
        <v>62488.456666666665</v>
      </c>
      <c r="K6" s="154">
        <f>+K22+K26</f>
        <v>61680</v>
      </c>
      <c r="L6" s="154"/>
      <c r="N6" s="9"/>
    </row>
    <row r="7" spans="1:18" s="8" customFormat="1" ht="15.75" hidden="1">
      <c r="A7" s="330"/>
      <c r="B7" s="153" t="s">
        <v>183</v>
      </c>
      <c r="C7" s="154"/>
      <c r="D7" s="154"/>
      <c r="E7" s="154"/>
      <c r="F7" s="154">
        <f>+F22+F26</f>
        <v>53722.07</v>
      </c>
      <c r="G7" s="154">
        <f>+G22+G26</f>
        <v>45717.89</v>
      </c>
      <c r="H7" s="154">
        <f>+H22+H26</f>
        <v>47241.82</v>
      </c>
      <c r="I7" s="154">
        <f>+I22+I26</f>
        <v>59296.86</v>
      </c>
      <c r="J7" s="154">
        <f>+J22+J26</f>
        <v>62488.456666666665</v>
      </c>
      <c r="K7" s="164"/>
      <c r="L7" s="164"/>
      <c r="N7" s="9"/>
    </row>
    <row r="8" spans="1:18" s="7" customFormat="1" ht="15.75" hidden="1">
      <c r="A8" s="331" t="s">
        <v>163</v>
      </c>
      <c r="B8" s="155" t="s">
        <v>184</v>
      </c>
      <c r="C8" s="156" t="e">
        <f>+#REF!+C9+#REF!+#REF!</f>
        <v>#REF!</v>
      </c>
      <c r="D8" s="156" t="e">
        <f>+#REF!+D9+#REF!+#REF!</f>
        <v>#REF!</v>
      </c>
      <c r="E8" s="156" t="e">
        <f>+#REF!+E9+#REF!+#REF!</f>
        <v>#REF!</v>
      </c>
      <c r="F8" s="156"/>
      <c r="G8" s="156"/>
      <c r="H8" s="156"/>
      <c r="I8" s="156"/>
      <c r="J8" s="156">
        <f>J9</f>
        <v>0</v>
      </c>
      <c r="K8" s="165"/>
      <c r="L8" s="165"/>
      <c r="N8" s="10"/>
    </row>
    <row r="9" spans="1:18" ht="14.25" hidden="1" customHeight="1">
      <c r="A9" s="332" t="s">
        <v>164</v>
      </c>
      <c r="B9" s="157" t="s">
        <v>12</v>
      </c>
      <c r="C9" s="158" t="e">
        <f>+C10+C11+#REF!+#REF!+#REF!+#REF!</f>
        <v>#REF!</v>
      </c>
      <c r="D9" s="158" t="e">
        <f>+D10+D11+#REF!+#REF!+#REF!+#REF!</f>
        <v>#REF!</v>
      </c>
      <c r="E9" s="158" t="e">
        <f>+E10+E11+#REF!+#REF!+#REF!+#REF!</f>
        <v>#REF!</v>
      </c>
      <c r="F9" s="158"/>
      <c r="G9" s="158"/>
      <c r="H9" s="158"/>
      <c r="I9" s="158"/>
      <c r="J9" s="158">
        <f>+J10+J11</f>
        <v>0</v>
      </c>
      <c r="K9" s="99"/>
      <c r="L9" s="99"/>
    </row>
    <row r="10" spans="1:18" ht="14.25" hidden="1" customHeight="1">
      <c r="A10" s="333" t="s">
        <v>165</v>
      </c>
      <c r="B10" s="159" t="s">
        <v>11</v>
      </c>
      <c r="C10" s="160">
        <v>990.52</v>
      </c>
      <c r="D10" s="160">
        <v>909.36</v>
      </c>
      <c r="E10" s="160">
        <v>1110.95</v>
      </c>
      <c r="F10" s="160"/>
      <c r="G10" s="160"/>
      <c r="H10" s="160"/>
      <c r="I10" s="160"/>
      <c r="J10" s="160">
        <v>0</v>
      </c>
      <c r="K10" s="99"/>
      <c r="L10" s="99"/>
    </row>
    <row r="11" spans="1:18" ht="14.25" hidden="1" customHeight="1">
      <c r="A11" s="333" t="s">
        <v>166</v>
      </c>
      <c r="B11" s="159" t="s">
        <v>10</v>
      </c>
      <c r="C11" s="160">
        <v>1614.24</v>
      </c>
      <c r="D11" s="160">
        <v>2922.92</v>
      </c>
      <c r="E11" s="160">
        <v>2398.46</v>
      </c>
      <c r="F11" s="160"/>
      <c r="G11" s="160"/>
      <c r="H11" s="160"/>
      <c r="I11" s="160"/>
      <c r="J11" s="160">
        <v>0</v>
      </c>
      <c r="K11" s="99"/>
      <c r="L11" s="99"/>
    </row>
    <row r="12" spans="1:18" s="7" customFormat="1" ht="15.75" hidden="1">
      <c r="A12" s="331" t="s">
        <v>167</v>
      </c>
      <c r="B12" s="155" t="s">
        <v>185</v>
      </c>
      <c r="C12" s="156" t="e">
        <f>+C13+#REF!</f>
        <v>#REF!</v>
      </c>
      <c r="D12" s="156" t="e">
        <f>+D13+#REF!</f>
        <v>#REF!</v>
      </c>
      <c r="E12" s="156" t="e">
        <f>+E13+#REF!</f>
        <v>#REF!</v>
      </c>
      <c r="F12" s="156"/>
      <c r="G12" s="156"/>
      <c r="H12" s="156"/>
      <c r="I12" s="156"/>
      <c r="J12" s="156">
        <f>+J13</f>
        <v>0</v>
      </c>
      <c r="K12" s="165"/>
      <c r="L12" s="165"/>
      <c r="N12" s="10"/>
    </row>
    <row r="13" spans="1:18" ht="15.75" hidden="1">
      <c r="A13" s="334" t="s">
        <v>168</v>
      </c>
      <c r="B13" s="157" t="s">
        <v>9</v>
      </c>
      <c r="C13" s="160" t="e">
        <f>+C14+#REF!+#REF!+#REF!+#REF!+#REF!+#REF!+#REF!+#REF!</f>
        <v>#REF!</v>
      </c>
      <c r="D13" s="160" t="e">
        <f>+D14+#REF!+#REF!+#REF!+#REF!+#REF!+#REF!+#REF!+#REF!</f>
        <v>#REF!</v>
      </c>
      <c r="E13" s="160" t="e">
        <f>+E14+#REF!+#REF!+#REF!+#REF!+#REF!+#REF!+#REF!+#REF!</f>
        <v>#REF!</v>
      </c>
      <c r="F13" s="160"/>
      <c r="G13" s="160"/>
      <c r="H13" s="160"/>
      <c r="I13" s="160"/>
      <c r="J13" s="158">
        <f>+J14+J15</f>
        <v>0</v>
      </c>
      <c r="K13" s="99"/>
      <c r="L13" s="99"/>
    </row>
    <row r="14" spans="1:18" ht="15" hidden="1">
      <c r="A14" s="335" t="s">
        <v>169</v>
      </c>
      <c r="B14" s="159" t="s">
        <v>186</v>
      </c>
      <c r="C14" s="160">
        <v>115</v>
      </c>
      <c r="D14" s="160">
        <v>92</v>
      </c>
      <c r="E14" s="160">
        <v>5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99"/>
      <c r="L14" s="99"/>
      <c r="N14" s="1"/>
    </row>
    <row r="15" spans="1:18" ht="15" hidden="1">
      <c r="A15" s="335" t="s">
        <v>187</v>
      </c>
      <c r="B15" s="159" t="s">
        <v>81</v>
      </c>
      <c r="C15" s="160">
        <v>361.21</v>
      </c>
      <c r="D15" s="160">
        <v>299.95</v>
      </c>
      <c r="E15" s="160">
        <v>444.58</v>
      </c>
      <c r="F15" s="160"/>
      <c r="G15" s="160"/>
      <c r="H15" s="160"/>
      <c r="I15" s="160"/>
      <c r="J15" s="160">
        <v>0</v>
      </c>
      <c r="K15" s="99"/>
      <c r="L15" s="99"/>
      <c r="M15" s="147"/>
      <c r="N15" s="148"/>
      <c r="O15" s="149"/>
      <c r="P15" s="149"/>
      <c r="Q15" s="149"/>
      <c r="R15" s="149"/>
    </row>
    <row r="16" spans="1:18" ht="15.75">
      <c r="A16" s="335"/>
      <c r="B16" s="153" t="s">
        <v>188</v>
      </c>
      <c r="C16" s="160"/>
      <c r="D16" s="160"/>
      <c r="E16" s="160"/>
      <c r="F16" s="160"/>
      <c r="G16" s="160"/>
      <c r="H16" s="160"/>
      <c r="I16" s="160"/>
      <c r="J16" s="160"/>
      <c r="K16" s="99"/>
      <c r="L16" s="99"/>
      <c r="M16" s="147"/>
      <c r="N16" s="148"/>
      <c r="O16" s="149"/>
      <c r="P16" s="149"/>
      <c r="Q16" s="149"/>
      <c r="R16" s="149"/>
    </row>
    <row r="17" spans="1:15" s="7" customFormat="1" ht="15.75" hidden="1">
      <c r="A17" s="331" t="s">
        <v>170</v>
      </c>
      <c r="B17" s="155" t="s">
        <v>189</v>
      </c>
      <c r="C17" s="156" t="e">
        <f>+#REF!+C20+#REF!+#REF!</f>
        <v>#REF!</v>
      </c>
      <c r="D17" s="156" t="e">
        <f>+#REF!+D20+#REF!+#REF!</f>
        <v>#REF!</v>
      </c>
      <c r="E17" s="156" t="e">
        <f>+#REF!+E20+#REF!+#REF!</f>
        <v>#REF!</v>
      </c>
      <c r="F17" s="156"/>
      <c r="G17" s="156"/>
      <c r="H17" s="156"/>
      <c r="I17" s="156"/>
      <c r="J17" s="156">
        <f>J18+J20</f>
        <v>0</v>
      </c>
      <c r="K17" s="165"/>
      <c r="L17" s="165"/>
      <c r="N17" s="10"/>
    </row>
    <row r="18" spans="1:15" s="7" customFormat="1" ht="15.75" hidden="1">
      <c r="A18" s="334" t="s">
        <v>190</v>
      </c>
      <c r="B18" s="157" t="s">
        <v>191</v>
      </c>
      <c r="C18" s="156"/>
      <c r="D18" s="156"/>
      <c r="E18" s="156"/>
      <c r="F18" s="156"/>
      <c r="G18" s="156"/>
      <c r="H18" s="156"/>
      <c r="I18" s="156"/>
      <c r="J18" s="158">
        <f>J19</f>
        <v>0</v>
      </c>
      <c r="K18" s="165"/>
      <c r="L18" s="165"/>
      <c r="N18" s="10"/>
    </row>
    <row r="19" spans="1:15" s="7" customFormat="1" ht="15.75" hidden="1">
      <c r="A19" s="335" t="s">
        <v>192</v>
      </c>
      <c r="B19" s="159" t="s">
        <v>193</v>
      </c>
      <c r="C19" s="156"/>
      <c r="D19" s="156"/>
      <c r="E19" s="156"/>
      <c r="F19" s="156">
        <v>0</v>
      </c>
      <c r="G19" s="156">
        <v>0</v>
      </c>
      <c r="H19" s="156">
        <v>0</v>
      </c>
      <c r="I19" s="156">
        <v>0</v>
      </c>
      <c r="J19" s="160">
        <v>0</v>
      </c>
      <c r="K19" s="165"/>
      <c r="L19" s="165"/>
      <c r="N19" s="10"/>
    </row>
    <row r="20" spans="1:15" s="2" customFormat="1" ht="15.75" hidden="1">
      <c r="A20" s="334" t="s">
        <v>171</v>
      </c>
      <c r="B20" s="157" t="s">
        <v>8</v>
      </c>
      <c r="C20" s="158" t="e">
        <f>+#REF!+#REF!+C21</f>
        <v>#REF!</v>
      </c>
      <c r="D20" s="158" t="e">
        <f>+#REF!+#REF!+D21</f>
        <v>#REF!</v>
      </c>
      <c r="E20" s="158" t="e">
        <f>+#REF!+#REF!+E21</f>
        <v>#REF!</v>
      </c>
      <c r="F20" s="158"/>
      <c r="G20" s="158"/>
      <c r="H20" s="158"/>
      <c r="I20" s="158"/>
      <c r="J20" s="158">
        <f>J21</f>
        <v>0</v>
      </c>
      <c r="K20" s="112"/>
      <c r="L20" s="112"/>
      <c r="M20" s="11"/>
      <c r="N20" s="11"/>
      <c r="O20" s="11"/>
    </row>
    <row r="21" spans="1:15" ht="15" hidden="1">
      <c r="A21" s="335" t="s">
        <v>172</v>
      </c>
      <c r="B21" s="159" t="s">
        <v>7</v>
      </c>
      <c r="C21" s="160" t="e">
        <f>SUM(#REF!)</f>
        <v>#REF!</v>
      </c>
      <c r="D21" s="160" t="e">
        <f>SUM(#REF!)</f>
        <v>#REF!</v>
      </c>
      <c r="E21" s="160" t="e">
        <f>SUM(#REF!)</f>
        <v>#REF!</v>
      </c>
      <c r="F21" s="160"/>
      <c r="G21" s="160"/>
      <c r="H21" s="160"/>
      <c r="I21" s="160"/>
      <c r="J21" s="160">
        <v>0</v>
      </c>
      <c r="K21" s="99"/>
      <c r="L21" s="99"/>
    </row>
    <row r="22" spans="1:15" s="7" customFormat="1" ht="31.5">
      <c r="A22" s="331">
        <v>1.8</v>
      </c>
      <c r="B22" s="155" t="s">
        <v>194</v>
      </c>
      <c r="C22" s="156" t="e">
        <f>+C25+#REF!+#REF!</f>
        <v>#REF!</v>
      </c>
      <c r="D22" s="156" t="e">
        <f>+D25</f>
        <v>#REF!</v>
      </c>
      <c r="E22" s="156" t="e">
        <f>+E25</f>
        <v>#REF!</v>
      </c>
      <c r="F22" s="156">
        <f t="shared" ref="F22:K22" si="0">+F23</f>
        <v>49000</v>
      </c>
      <c r="G22" s="156">
        <f t="shared" si="0"/>
        <v>45336.68</v>
      </c>
      <c r="H22" s="156">
        <f t="shared" si="0"/>
        <v>46860.61</v>
      </c>
      <c r="I22" s="156">
        <f t="shared" si="0"/>
        <v>55770.31</v>
      </c>
      <c r="J22" s="156">
        <f t="shared" si="0"/>
        <v>59360.41333333333</v>
      </c>
      <c r="K22" s="156">
        <f t="shared" si="0"/>
        <v>60180</v>
      </c>
      <c r="L22" s="156"/>
      <c r="N22" s="10"/>
    </row>
    <row r="23" spans="1:15" s="7" customFormat="1" ht="31.5">
      <c r="A23" s="334" t="s">
        <v>202</v>
      </c>
      <c r="B23" s="157" t="s">
        <v>203</v>
      </c>
      <c r="C23" s="156"/>
      <c r="D23" s="156"/>
      <c r="E23" s="156"/>
      <c r="F23" s="158">
        <f t="shared" ref="F23:H23" si="1">+F24+F25</f>
        <v>49000</v>
      </c>
      <c r="G23" s="158">
        <f t="shared" si="1"/>
        <v>45336.68</v>
      </c>
      <c r="H23" s="158">
        <f t="shared" si="1"/>
        <v>46860.61</v>
      </c>
      <c r="I23" s="158">
        <f t="shared" ref="I23:K23" si="2">+I24+I25</f>
        <v>55770.31</v>
      </c>
      <c r="J23" s="158">
        <f t="shared" si="2"/>
        <v>59360.41333333333</v>
      </c>
      <c r="K23" s="158">
        <f t="shared" si="2"/>
        <v>60180</v>
      </c>
      <c r="L23" s="158"/>
      <c r="N23" s="10"/>
    </row>
    <row r="24" spans="1:15" s="7" customFormat="1" ht="15.75">
      <c r="A24" s="335" t="s">
        <v>253</v>
      </c>
      <c r="B24" s="159" t="s">
        <v>254</v>
      </c>
      <c r="C24" s="156"/>
      <c r="D24" s="156"/>
      <c r="E24" s="156"/>
      <c r="F24" s="160">
        <v>4000</v>
      </c>
      <c r="G24" s="160"/>
      <c r="H24" s="160"/>
      <c r="I24" s="160"/>
      <c r="J24" s="160">
        <v>0</v>
      </c>
      <c r="K24" s="166"/>
      <c r="L24" s="166"/>
      <c r="N24" s="10"/>
    </row>
    <row r="25" spans="1:15" s="2" customFormat="1" ht="16.5" customHeight="1">
      <c r="A25" s="335" t="s">
        <v>195</v>
      </c>
      <c r="B25" s="159" t="s">
        <v>196</v>
      </c>
      <c r="C25" s="160" t="e">
        <f>+#REF!</f>
        <v>#REF!</v>
      </c>
      <c r="D25" s="160" t="e">
        <f>+#REF!+#REF!</f>
        <v>#REF!</v>
      </c>
      <c r="E25" s="160" t="e">
        <f>+#REF!+#REF!</f>
        <v>#REF!</v>
      </c>
      <c r="F25" s="160">
        <v>45000</v>
      </c>
      <c r="G25" s="160">
        <v>45336.68</v>
      </c>
      <c r="H25" s="160">
        <v>46860.61</v>
      </c>
      <c r="I25" s="160">
        <v>55770.31</v>
      </c>
      <c r="J25" s="160">
        <f>+((+(G25-F25)+(H25-G25)+(I25-H25))/3+I25)</f>
        <v>59360.41333333333</v>
      </c>
      <c r="K25" s="160">
        <v>60180</v>
      </c>
      <c r="L25" s="160"/>
      <c r="M25" s="5">
        <f>+J25*15%</f>
        <v>8904.0619999999999</v>
      </c>
      <c r="N25" s="11"/>
    </row>
    <row r="26" spans="1:15" s="7" customFormat="1" ht="15.75">
      <c r="A26" s="331">
        <v>1.9</v>
      </c>
      <c r="B26" s="155" t="s">
        <v>197</v>
      </c>
      <c r="C26" s="156" t="e">
        <f>+#REF!</f>
        <v>#REF!</v>
      </c>
      <c r="D26" s="156" t="e">
        <f>+#REF!</f>
        <v>#REF!</v>
      </c>
      <c r="E26" s="156" t="e">
        <f>+#REF!</f>
        <v>#REF!</v>
      </c>
      <c r="F26" s="156">
        <f t="shared" ref="F26:K27" si="3">+F27</f>
        <v>4722.07</v>
      </c>
      <c r="G26" s="156">
        <f t="shared" si="3"/>
        <v>381.21</v>
      </c>
      <c r="H26" s="156">
        <f t="shared" si="3"/>
        <v>381.21</v>
      </c>
      <c r="I26" s="156">
        <f t="shared" si="3"/>
        <v>3526.55</v>
      </c>
      <c r="J26" s="156">
        <f t="shared" si="3"/>
        <v>3128.0433333333335</v>
      </c>
      <c r="K26" s="156">
        <f t="shared" si="3"/>
        <v>1500</v>
      </c>
      <c r="L26" s="156"/>
      <c r="M26" s="227"/>
      <c r="N26" s="10"/>
    </row>
    <row r="27" spans="1:15" s="3" customFormat="1" ht="15.75">
      <c r="A27" s="334" t="s">
        <v>173</v>
      </c>
      <c r="B27" s="157" t="s">
        <v>249</v>
      </c>
      <c r="C27" s="158">
        <f>+C28</f>
        <v>1401.77</v>
      </c>
      <c r="D27" s="158">
        <f>+D28</f>
        <v>365.16</v>
      </c>
      <c r="E27" s="158">
        <f>+E28</f>
        <v>25818.79</v>
      </c>
      <c r="F27" s="158">
        <f t="shared" si="3"/>
        <v>4722.07</v>
      </c>
      <c r="G27" s="158">
        <f t="shared" si="3"/>
        <v>381.21</v>
      </c>
      <c r="H27" s="158">
        <f t="shared" si="3"/>
        <v>381.21</v>
      </c>
      <c r="I27" s="158">
        <f t="shared" si="3"/>
        <v>3526.55</v>
      </c>
      <c r="J27" s="158">
        <f t="shared" si="3"/>
        <v>3128.0433333333335</v>
      </c>
      <c r="K27" s="158">
        <f t="shared" si="3"/>
        <v>1500</v>
      </c>
      <c r="L27" s="158"/>
      <c r="M27" s="373"/>
      <c r="N27" s="373"/>
    </row>
    <row r="28" spans="1:15" ht="15">
      <c r="A28" s="335" t="s">
        <v>174</v>
      </c>
      <c r="B28" s="159" t="s">
        <v>5</v>
      </c>
      <c r="C28" s="160">
        <v>1401.77</v>
      </c>
      <c r="D28" s="160">
        <v>365.16</v>
      </c>
      <c r="E28" s="160">
        <v>25818.79</v>
      </c>
      <c r="F28" s="160">
        <v>4722.07</v>
      </c>
      <c r="G28" s="160">
        <v>381.21</v>
      </c>
      <c r="H28" s="160">
        <v>381.21</v>
      </c>
      <c r="I28" s="160">
        <v>3526.55</v>
      </c>
      <c r="J28" s="160">
        <f>+((+(G28-F28)+(H28-G28)+(I28-H28))/3+I28)</f>
        <v>3128.0433333333335</v>
      </c>
      <c r="K28" s="160">
        <v>1500</v>
      </c>
      <c r="L28" s="160"/>
      <c r="M28" s="5">
        <f>+J28*15%</f>
        <v>469.20650000000001</v>
      </c>
      <c r="N28" s="11"/>
    </row>
    <row r="29" spans="1:15" s="2" customFormat="1" ht="15.75">
      <c r="A29" s="330">
        <v>2</v>
      </c>
      <c r="B29" s="153" t="s">
        <v>4</v>
      </c>
      <c r="C29" s="160"/>
      <c r="D29" s="160"/>
      <c r="E29" s="160"/>
      <c r="F29" s="154" t="e">
        <f>+F30+#REF!</f>
        <v>#REF!</v>
      </c>
      <c r="G29" s="154" t="e">
        <f>+G30+#REF!</f>
        <v>#REF!</v>
      </c>
      <c r="H29" s="154" t="e">
        <f>+H30+#REF!</f>
        <v>#REF!</v>
      </c>
      <c r="I29" s="154" t="e">
        <f>+I30+#REF!</f>
        <v>#REF!</v>
      </c>
      <c r="J29" s="154" t="e">
        <f>+J30+#REF!+J38+J41</f>
        <v>#REF!</v>
      </c>
      <c r="K29" s="154">
        <f>K30</f>
        <v>166041.29999999999</v>
      </c>
      <c r="L29" s="154"/>
      <c r="M29" s="5"/>
      <c r="N29" s="11"/>
    </row>
    <row r="30" spans="1:15" s="2" customFormat="1" ht="31.5">
      <c r="A30" s="331">
        <v>2.8</v>
      </c>
      <c r="B30" s="155" t="s">
        <v>198</v>
      </c>
      <c r="C30" s="160"/>
      <c r="D30" s="160"/>
      <c r="E30" s="160"/>
      <c r="F30" s="156">
        <f t="shared" ref="F30:J30" si="4">+F31+F34</f>
        <v>114086.33</v>
      </c>
      <c r="G30" s="156">
        <f t="shared" si="4"/>
        <v>136308.94</v>
      </c>
      <c r="H30" s="156">
        <f t="shared" si="4"/>
        <v>139841.41999999998</v>
      </c>
      <c r="I30" s="156">
        <f t="shared" si="4"/>
        <v>181984.94</v>
      </c>
      <c r="J30" s="156">
        <f t="shared" si="4"/>
        <v>226861.61</v>
      </c>
      <c r="K30" s="156">
        <f>+K31+K34</f>
        <v>166041.29999999999</v>
      </c>
      <c r="L30" s="156"/>
      <c r="M30" s="5"/>
      <c r="N30" s="11"/>
    </row>
    <row r="31" spans="1:15" s="2" customFormat="1" ht="31.5">
      <c r="A31" s="334" t="s">
        <v>175</v>
      </c>
      <c r="B31" s="157" t="s">
        <v>176</v>
      </c>
      <c r="C31" s="160"/>
      <c r="D31" s="160"/>
      <c r="E31" s="160"/>
      <c r="F31" s="158">
        <f>+F33</f>
        <v>9988</v>
      </c>
      <c r="G31" s="158">
        <f>+G33</f>
        <v>30500</v>
      </c>
      <c r="H31" s="158">
        <f>+H33</f>
        <v>30500</v>
      </c>
      <c r="I31" s="158">
        <f>+I33</f>
        <v>70444.160000000003</v>
      </c>
      <c r="J31" s="158">
        <f>SUM(J32:J33)</f>
        <v>112840.01333333334</v>
      </c>
      <c r="K31" s="158">
        <f>SUM(K32:K33)</f>
        <v>75365.7</v>
      </c>
      <c r="L31" s="158"/>
      <c r="M31" s="5"/>
      <c r="N31" s="11"/>
    </row>
    <row r="32" spans="1:15" s="2" customFormat="1" ht="15">
      <c r="A32" s="335" t="s">
        <v>370</v>
      </c>
      <c r="B32" s="159" t="s">
        <v>371</v>
      </c>
      <c r="C32" s="160"/>
      <c r="D32" s="160"/>
      <c r="E32" s="160"/>
      <c r="F32" s="160"/>
      <c r="G32" s="160"/>
      <c r="H32" s="160"/>
      <c r="I32" s="160">
        <v>22243.8</v>
      </c>
      <c r="J32" s="160">
        <v>22243.8</v>
      </c>
      <c r="K32" s="160">
        <v>33365.699999999997</v>
      </c>
      <c r="L32" s="160"/>
      <c r="M32" s="5">
        <f>+J32*15%</f>
        <v>3336.5699999999997</v>
      </c>
      <c r="N32" s="11"/>
    </row>
    <row r="33" spans="1:14" s="2" customFormat="1" ht="15">
      <c r="A33" s="335" t="s">
        <v>200</v>
      </c>
      <c r="B33" s="159" t="s">
        <v>201</v>
      </c>
      <c r="C33" s="160"/>
      <c r="D33" s="160"/>
      <c r="E33" s="160"/>
      <c r="F33" s="160">
        <v>9988</v>
      </c>
      <c r="G33" s="160">
        <f>500+30000</f>
        <v>30500</v>
      </c>
      <c r="H33" s="160">
        <f>500+30000</f>
        <v>30500</v>
      </c>
      <c r="I33" s="160">
        <v>70444.160000000003</v>
      </c>
      <c r="J33" s="160">
        <f>+((+(G33-F33)+(H33-G33)+(I33-H33))/3+I33)</f>
        <v>90596.213333333333</v>
      </c>
      <c r="K33" s="167">
        <v>42000</v>
      </c>
      <c r="L33" s="167">
        <v>750</v>
      </c>
      <c r="M33" s="5">
        <f>+J33*15%</f>
        <v>13589.431999999999</v>
      </c>
      <c r="N33" s="11"/>
    </row>
    <row r="34" spans="1:14" s="2" customFormat="1" ht="15.75" customHeight="1">
      <c r="A34" s="334" t="s">
        <v>177</v>
      </c>
      <c r="B34" s="157" t="s">
        <v>178</v>
      </c>
      <c r="C34" s="160"/>
      <c r="D34" s="160"/>
      <c r="E34" s="160"/>
      <c r="F34" s="158">
        <f t="shared" ref="F34:J34" si="5">+F35</f>
        <v>104098.33</v>
      </c>
      <c r="G34" s="158">
        <f t="shared" si="5"/>
        <v>105808.94</v>
      </c>
      <c r="H34" s="158">
        <f t="shared" si="5"/>
        <v>109341.42</v>
      </c>
      <c r="I34" s="158">
        <f t="shared" si="5"/>
        <v>111540.78</v>
      </c>
      <c r="J34" s="158">
        <f t="shared" si="5"/>
        <v>114021.59666666666</v>
      </c>
      <c r="K34" s="158">
        <f>K35+K36</f>
        <v>90675.6</v>
      </c>
      <c r="L34" s="158"/>
      <c r="M34" s="5"/>
      <c r="N34" s="11"/>
    </row>
    <row r="35" spans="1:14" s="2" customFormat="1" ht="15.75" customHeight="1">
      <c r="A35" s="335" t="s">
        <v>199</v>
      </c>
      <c r="B35" s="159" t="s">
        <v>196</v>
      </c>
      <c r="C35" s="160"/>
      <c r="D35" s="160"/>
      <c r="E35" s="160"/>
      <c r="F35" s="160">
        <v>104098.33</v>
      </c>
      <c r="G35" s="160">
        <v>105808.94</v>
      </c>
      <c r="H35" s="160">
        <v>109341.42</v>
      </c>
      <c r="I35" s="160">
        <v>111540.78</v>
      </c>
      <c r="J35" s="160">
        <f>+((+(G35-F35)+(H35-G35)+(I35-H35))/3+I35)</f>
        <v>114021.59666666666</v>
      </c>
      <c r="K35" s="167">
        <v>79675.600000000006</v>
      </c>
      <c r="L35" s="167"/>
      <c r="M35" s="5"/>
      <c r="N35" s="11"/>
    </row>
    <row r="36" spans="1:14" s="2" customFormat="1" ht="28.5" customHeight="1">
      <c r="A36" s="335" t="s">
        <v>546</v>
      </c>
      <c r="B36" s="159" t="s">
        <v>524</v>
      </c>
      <c r="C36" s="160"/>
      <c r="D36" s="160"/>
      <c r="E36" s="160"/>
      <c r="F36" s="160"/>
      <c r="G36" s="160"/>
      <c r="H36" s="160"/>
      <c r="I36" s="160"/>
      <c r="J36" s="160"/>
      <c r="K36" s="167">
        <v>11000</v>
      </c>
      <c r="L36" s="167"/>
      <c r="M36" s="5"/>
      <c r="N36" s="11"/>
    </row>
    <row r="37" spans="1:14" s="8" customFormat="1" ht="16.5" customHeight="1">
      <c r="A37" s="330">
        <v>3</v>
      </c>
      <c r="B37" s="336" t="s">
        <v>3</v>
      </c>
      <c r="C37" s="336" t="e">
        <f>+#REF!+#REF!+#REF!</f>
        <v>#REF!</v>
      </c>
      <c r="D37" s="336" t="e">
        <f>+#REF!+#REF!+D39</f>
        <v>#REF!</v>
      </c>
      <c r="E37" s="336" t="e">
        <f>+#REF!+#REF!+E39</f>
        <v>#REF!</v>
      </c>
      <c r="F37" s="336"/>
      <c r="G37" s="336"/>
      <c r="H37" s="336"/>
      <c r="I37" s="337" t="e">
        <f>+I38+I41</f>
        <v>#REF!</v>
      </c>
      <c r="J37" s="337" t="e">
        <f>+J38+J41</f>
        <v>#REF!</v>
      </c>
      <c r="K37" s="235"/>
      <c r="L37" s="235">
        <f>L38+L41</f>
        <v>0</v>
      </c>
      <c r="N37" s="9"/>
    </row>
    <row r="38" spans="1:14" s="7" customFormat="1" ht="16.5" customHeight="1">
      <c r="A38" s="331">
        <v>3.7</v>
      </c>
      <c r="B38" s="161" t="s">
        <v>2</v>
      </c>
      <c r="C38" s="161"/>
      <c r="D38" s="161"/>
      <c r="E38" s="161"/>
      <c r="F38" s="161"/>
      <c r="G38" s="161"/>
      <c r="H38" s="161"/>
      <c r="I38" s="236" t="e">
        <f>+I39</f>
        <v>#REF!</v>
      </c>
      <c r="J38" s="236" t="e">
        <f>+J39</f>
        <v>#REF!</v>
      </c>
      <c r="K38" s="236"/>
      <c r="L38" s="236"/>
      <c r="N38" s="10"/>
    </row>
    <row r="39" spans="1:14" s="7" customFormat="1" ht="16.5" customHeight="1">
      <c r="A39" s="334" t="s">
        <v>179</v>
      </c>
      <c r="B39" s="157" t="s">
        <v>1</v>
      </c>
      <c r="C39" s="156">
        <f>+C40</f>
        <v>31450.27</v>
      </c>
      <c r="D39" s="156">
        <v>292216.34000000003</v>
      </c>
      <c r="E39" s="156">
        <v>86536.16</v>
      </c>
      <c r="F39" s="156"/>
      <c r="G39" s="156"/>
      <c r="H39" s="156"/>
      <c r="I39" s="237" t="e">
        <f>+#REF!</f>
        <v>#REF!</v>
      </c>
      <c r="J39" s="237" t="e">
        <f>+#REF!</f>
        <v>#REF!</v>
      </c>
      <c r="K39" s="237"/>
      <c r="L39" s="237"/>
      <c r="M39" s="143" t="s">
        <v>562</v>
      </c>
      <c r="N39" s="10"/>
    </row>
    <row r="40" spans="1:14" ht="16.5" customHeight="1">
      <c r="A40" s="335" t="s">
        <v>569</v>
      </c>
      <c r="B40" s="159" t="s">
        <v>570</v>
      </c>
      <c r="C40" s="160">
        <v>31450.27</v>
      </c>
      <c r="D40" s="160">
        <v>31450.27</v>
      </c>
      <c r="E40" s="160">
        <v>31450.27</v>
      </c>
      <c r="F40" s="160"/>
      <c r="G40" s="160"/>
      <c r="H40" s="160"/>
      <c r="I40" s="160"/>
      <c r="J40" s="160">
        <f>+((+(G40-F40)+(H40-G40)+(I40-H40))/3+I40)</f>
        <v>0</v>
      </c>
      <c r="K40" s="234"/>
      <c r="L40" s="234">
        <v>52492.88</v>
      </c>
      <c r="M40" s="142"/>
    </row>
    <row r="41" spans="1:14" ht="15.75" customHeight="1">
      <c r="A41" s="331">
        <v>3.8</v>
      </c>
      <c r="B41" s="161" t="s">
        <v>180</v>
      </c>
      <c r="C41" s="161"/>
      <c r="D41" s="161"/>
      <c r="E41" s="161"/>
      <c r="F41" s="161"/>
      <c r="G41" s="161"/>
      <c r="H41" s="161"/>
      <c r="I41" s="338">
        <f>+I42</f>
        <v>0</v>
      </c>
      <c r="J41" s="338">
        <f>+J42</f>
        <v>0</v>
      </c>
      <c r="K41" s="338"/>
      <c r="L41" s="338"/>
    </row>
    <row r="42" spans="1:14" ht="15.75" customHeight="1">
      <c r="A42" s="334" t="s">
        <v>181</v>
      </c>
      <c r="B42" s="157" t="s">
        <v>180</v>
      </c>
      <c r="C42" s="156">
        <f>+C43</f>
        <v>31450.27</v>
      </c>
      <c r="D42" s="156">
        <v>292216.34000000003</v>
      </c>
      <c r="E42" s="156">
        <v>86536.16</v>
      </c>
      <c r="F42" s="156"/>
      <c r="G42" s="156"/>
      <c r="H42" s="156"/>
      <c r="I42" s="158">
        <f>+I43+I44</f>
        <v>0</v>
      </c>
      <c r="J42" s="158">
        <f>+J43+J44</f>
        <v>0</v>
      </c>
      <c r="K42" s="158"/>
      <c r="L42" s="158"/>
      <c r="M42" s="141"/>
    </row>
    <row r="43" spans="1:14" ht="15.75" customHeight="1">
      <c r="A43" s="335" t="s">
        <v>182</v>
      </c>
      <c r="B43" s="159" t="s">
        <v>368</v>
      </c>
      <c r="C43" s="160">
        <v>31450.27</v>
      </c>
      <c r="D43" s="160">
        <v>31450.27</v>
      </c>
      <c r="E43" s="160">
        <v>31450.27</v>
      </c>
      <c r="F43" s="160"/>
      <c r="G43" s="160"/>
      <c r="H43" s="160"/>
      <c r="I43" s="160"/>
      <c r="J43" s="160">
        <f>+((+(G43-F43)+(H43-G43)+(I43-H43))/3+I43)</f>
        <v>0</v>
      </c>
      <c r="K43" s="234"/>
      <c r="L43" s="234">
        <v>112636.64</v>
      </c>
      <c r="M43" s="141"/>
      <c r="N43" s="321">
        <f>+K50-GASTOS!D396</f>
        <v>-165879.52178000001</v>
      </c>
    </row>
    <row r="44" spans="1:14" ht="15">
      <c r="A44" s="335" t="s">
        <v>367</v>
      </c>
      <c r="B44" s="99" t="s">
        <v>369</v>
      </c>
      <c r="C44" s="160"/>
      <c r="D44" s="160"/>
      <c r="E44" s="160"/>
      <c r="F44" s="160"/>
      <c r="G44" s="160"/>
      <c r="H44" s="160"/>
      <c r="I44" s="160"/>
      <c r="J44" s="234">
        <v>0</v>
      </c>
      <c r="K44" s="234">
        <v>0</v>
      </c>
      <c r="L44" s="234"/>
    </row>
    <row r="45" spans="1:14" ht="15">
      <c r="A45" s="335"/>
      <c r="B45" s="99"/>
      <c r="C45" s="160"/>
      <c r="D45" s="160"/>
      <c r="E45" s="160"/>
      <c r="F45" s="160"/>
      <c r="G45" s="160"/>
      <c r="H45" s="160"/>
      <c r="I45" s="160"/>
      <c r="J45" s="160"/>
      <c r="K45" s="234"/>
      <c r="L45" s="234"/>
    </row>
    <row r="46" spans="1:14" ht="15" hidden="1">
      <c r="A46" s="99"/>
      <c r="B46" s="99"/>
      <c r="C46" s="160"/>
      <c r="D46" s="160"/>
      <c r="E46" s="160"/>
      <c r="F46" s="160"/>
      <c r="G46" s="160"/>
      <c r="H46" s="160"/>
      <c r="I46" s="160"/>
      <c r="J46" s="160"/>
      <c r="K46" s="99"/>
      <c r="L46" s="99"/>
      <c r="M46" s="141"/>
    </row>
    <row r="47" spans="1:14" ht="15" hidden="1">
      <c r="A47" s="99"/>
      <c r="B47" s="99"/>
      <c r="C47" s="160"/>
      <c r="D47" s="160"/>
      <c r="E47" s="160"/>
      <c r="F47" s="160"/>
      <c r="G47" s="160"/>
      <c r="H47" s="160"/>
      <c r="I47" s="160"/>
      <c r="J47" s="160"/>
      <c r="K47" s="99"/>
      <c r="L47" s="99"/>
      <c r="M47" s="141"/>
    </row>
    <row r="48" spans="1:14" ht="15" hidden="1">
      <c r="A48" s="99"/>
      <c r="B48" s="99"/>
      <c r="C48" s="160"/>
      <c r="D48" s="160"/>
      <c r="E48" s="160"/>
      <c r="F48" s="160"/>
      <c r="G48" s="160"/>
      <c r="H48" s="160"/>
      <c r="I48" s="160"/>
      <c r="J48" s="160"/>
      <c r="K48" s="99"/>
      <c r="L48" s="99"/>
      <c r="M48" s="141"/>
    </row>
    <row r="49" spans="1:18" ht="15" hidden="1">
      <c r="A49" s="99"/>
      <c r="B49" s="99"/>
      <c r="C49" s="160"/>
      <c r="D49" s="160"/>
      <c r="E49" s="160"/>
      <c r="F49" s="160"/>
      <c r="G49" s="160"/>
      <c r="H49" s="160"/>
      <c r="I49" s="160"/>
      <c r="J49" s="160"/>
      <c r="K49" s="99"/>
      <c r="L49" s="99"/>
      <c r="M49" s="141"/>
    </row>
    <row r="50" spans="1:18" s="3" customFormat="1" ht="15.75">
      <c r="A50" s="339"/>
      <c r="B50" s="157" t="s">
        <v>0</v>
      </c>
      <c r="C50" s="158" t="e">
        <f>+C37+#REF!+C6</f>
        <v>#REF!</v>
      </c>
      <c r="D50" s="158" t="e">
        <f>+D37+#REF!+D6</f>
        <v>#REF!</v>
      </c>
      <c r="E50" s="158" t="e">
        <f>+E37+#REF!+E6</f>
        <v>#REF!</v>
      </c>
      <c r="F50" s="158" t="e">
        <f>+F41+F38+#REF!+F30+F26+F22</f>
        <v>#REF!</v>
      </c>
      <c r="G50" s="158" t="e">
        <f>+G41+G38+#REF!+G30+G26+G22</f>
        <v>#REF!</v>
      </c>
      <c r="H50" s="158" t="e">
        <f>+H41+H38+#REF!+H30+H26+H22</f>
        <v>#REF!</v>
      </c>
      <c r="I50" s="158" t="e">
        <f>+I41+I38+#REF!+I30+I26+I22</f>
        <v>#REF!</v>
      </c>
      <c r="J50" s="158" t="e">
        <f>+J41+J38+#REF!+J30+J26+J22</f>
        <v>#REF!</v>
      </c>
      <c r="K50" s="158">
        <f>K37+K29+K6</f>
        <v>227721.3</v>
      </c>
      <c r="L50" s="158">
        <f>K50+L43+L40+L33</f>
        <v>393600.82</v>
      </c>
      <c r="M50" s="144">
        <v>112542</v>
      </c>
      <c r="N50" s="6">
        <f>K50-M50</f>
        <v>115179.29999999999</v>
      </c>
    </row>
    <row r="51" spans="1:18">
      <c r="E51" s="5"/>
      <c r="F51" s="5"/>
      <c r="G51" s="5"/>
      <c r="H51" s="5"/>
      <c r="I51" s="5"/>
      <c r="J51" s="5"/>
      <c r="K51" s="223"/>
      <c r="L51" s="223"/>
    </row>
    <row r="52" spans="1:18">
      <c r="E52" s="5"/>
      <c r="F52" s="5"/>
      <c r="G52" s="5"/>
      <c r="H52" s="5"/>
      <c r="I52" s="5"/>
      <c r="J52" s="5"/>
      <c r="M52" s="4"/>
    </row>
    <row r="53" spans="1:18">
      <c r="D53" s="5"/>
    </row>
    <row r="54" spans="1:18">
      <c r="D54" s="5"/>
    </row>
    <row r="55" spans="1:18">
      <c r="A55" s="1"/>
      <c r="D55" s="5"/>
    </row>
    <row r="56" spans="1:18">
      <c r="A56" s="1"/>
      <c r="D56" s="5"/>
    </row>
    <row r="57" spans="1:18">
      <c r="A57" s="1"/>
      <c r="D57" s="5"/>
      <c r="M57" s="163"/>
      <c r="N57" s="163"/>
      <c r="O57" s="163"/>
      <c r="P57" s="163"/>
      <c r="Q57" s="163"/>
      <c r="R57" s="163"/>
    </row>
    <row r="58" spans="1:18">
      <c r="A58" s="1"/>
      <c r="D58" s="5"/>
    </row>
    <row r="60" spans="1:18">
      <c r="A60" s="1"/>
      <c r="D60" s="4">
        <v>58120</v>
      </c>
      <c r="E60" s="4">
        <v>60220.75</v>
      </c>
      <c r="F60" s="4"/>
      <c r="G60" s="4"/>
      <c r="H60" s="4"/>
      <c r="I60" s="4"/>
    </row>
    <row r="61" spans="1:18">
      <c r="A61" s="1"/>
      <c r="B61" s="106"/>
      <c r="D61" s="4">
        <v>240882.98</v>
      </c>
      <c r="E61" s="4">
        <v>8516.39</v>
      </c>
      <c r="F61" s="4"/>
      <c r="G61" s="4"/>
      <c r="H61" s="4"/>
      <c r="I61" s="4"/>
    </row>
    <row r="62" spans="1:18" hidden="1">
      <c r="A62" s="1"/>
      <c r="B62" s="107" t="s">
        <v>151</v>
      </c>
      <c r="D62" s="4">
        <v>37569.42</v>
      </c>
      <c r="E62" s="4">
        <v>119360.34</v>
      </c>
      <c r="F62" s="4"/>
      <c r="G62" s="4"/>
      <c r="H62" s="4"/>
      <c r="I62" s="4"/>
    </row>
    <row r="63" spans="1:18" hidden="1">
      <c r="A63" s="1"/>
      <c r="B63" s="107" t="s">
        <v>152</v>
      </c>
      <c r="D63" s="4">
        <v>15000</v>
      </c>
      <c r="E63" s="4">
        <v>5311.26</v>
      </c>
      <c r="F63" s="4"/>
      <c r="G63" s="4"/>
      <c r="H63" s="4"/>
      <c r="I63" s="4"/>
    </row>
    <row r="64" spans="1:18">
      <c r="A64" s="1"/>
      <c r="B64" s="107"/>
      <c r="D64" s="4"/>
      <c r="E64" s="4"/>
      <c r="F64" s="4"/>
      <c r="G64" s="4"/>
      <c r="H64" s="4"/>
      <c r="I64" s="4"/>
    </row>
    <row r="65" spans="1:14">
      <c r="A65" s="1"/>
      <c r="B65" s="107"/>
      <c r="D65" s="4"/>
      <c r="E65" s="4"/>
      <c r="F65" s="4"/>
      <c r="G65" s="4"/>
      <c r="H65" s="4"/>
      <c r="I65" s="4"/>
    </row>
    <row r="66" spans="1:14">
      <c r="A66" s="1"/>
      <c r="B66" s="107"/>
      <c r="D66" s="4"/>
      <c r="E66" s="4"/>
      <c r="F66" s="4"/>
      <c r="G66" s="4"/>
      <c r="H66" s="4"/>
      <c r="I66" s="4"/>
    </row>
    <row r="67" spans="1:14">
      <c r="A67" s="1"/>
      <c r="B67" s="107"/>
      <c r="D67" s="4"/>
      <c r="E67" s="4"/>
      <c r="F67" s="4"/>
      <c r="G67" s="4"/>
      <c r="H67" s="4"/>
      <c r="I67" s="4"/>
    </row>
    <row r="68" spans="1:14">
      <c r="A68" s="1"/>
      <c r="B68" s="106"/>
      <c r="D68" s="4">
        <v>5295.41</v>
      </c>
      <c r="E68" s="4">
        <v>1754.57</v>
      </c>
      <c r="F68" s="4"/>
      <c r="G68" s="4"/>
      <c r="H68" s="4"/>
      <c r="I68" s="4"/>
    </row>
    <row r="69" spans="1:14">
      <c r="A69" s="1"/>
      <c r="D69" s="4">
        <v>100000</v>
      </c>
      <c r="E69" s="4">
        <v>33404.300000000003</v>
      </c>
      <c r="F69" s="4"/>
      <c r="G69" s="4"/>
      <c r="H69" s="4"/>
      <c r="I69" s="4"/>
    </row>
    <row r="70" spans="1:14" ht="15" customHeight="1">
      <c r="A70" s="1"/>
      <c r="B70" s="374" t="s">
        <v>237</v>
      </c>
      <c r="C70" s="375"/>
      <c r="D70" s="375"/>
      <c r="E70" s="375"/>
      <c r="F70" s="375"/>
      <c r="G70" s="375"/>
      <c r="H70" s="375"/>
      <c r="I70" s="375"/>
      <c r="J70" s="375"/>
      <c r="K70" s="375"/>
      <c r="L70" s="322"/>
    </row>
    <row r="71" spans="1:14" ht="30">
      <c r="A71" s="138"/>
      <c r="B71" s="117" t="s">
        <v>48</v>
      </c>
      <c r="C71" s="118"/>
      <c r="D71" s="119">
        <v>7143.17</v>
      </c>
      <c r="E71" s="119">
        <v>12000</v>
      </c>
      <c r="F71" s="119"/>
      <c r="G71" s="119"/>
      <c r="H71" s="119"/>
      <c r="I71" s="119"/>
      <c r="J71" s="118" t="s">
        <v>153</v>
      </c>
      <c r="K71" s="120" t="s">
        <v>160</v>
      </c>
      <c r="L71" s="323"/>
    </row>
    <row r="72" spans="1:14" s="3" customFormat="1" ht="15">
      <c r="A72" s="138"/>
      <c r="B72" s="100" t="s">
        <v>13</v>
      </c>
      <c r="C72" s="110"/>
      <c r="D72" s="101">
        <v>43953.120000000003</v>
      </c>
      <c r="E72" s="101">
        <v>90650.59</v>
      </c>
      <c r="F72" s="101"/>
      <c r="G72" s="101"/>
      <c r="H72" s="101"/>
      <c r="I72" s="101"/>
      <c r="J72" s="111">
        <f>SUM(J73:J77)</f>
        <v>61680</v>
      </c>
      <c r="K72" s="121">
        <f>+J72/J86</f>
        <v>0.27085740332590763</v>
      </c>
      <c r="L72" s="324"/>
      <c r="M72" s="3">
        <f>K50*22%</f>
        <v>50098.685999999994</v>
      </c>
      <c r="N72" s="6"/>
    </row>
    <row r="73" spans="1:14">
      <c r="B73" s="99" t="s">
        <v>149</v>
      </c>
      <c r="C73" s="112">
        <v>568296.28</v>
      </c>
      <c r="D73" s="102">
        <v>512109.51</v>
      </c>
      <c r="E73" s="102">
        <v>630323.42000000004</v>
      </c>
      <c r="F73" s="102"/>
      <c r="G73" s="102"/>
      <c r="H73" s="102"/>
      <c r="I73" s="102"/>
      <c r="J73" s="113"/>
      <c r="K73" s="99"/>
      <c r="L73" s="106"/>
    </row>
    <row r="74" spans="1:14">
      <c r="B74" s="99" t="s">
        <v>150</v>
      </c>
      <c r="C74" s="112">
        <v>30845.319999999996</v>
      </c>
      <c r="D74" s="102">
        <v>37260.57</v>
      </c>
      <c r="E74" s="102">
        <v>5151.82</v>
      </c>
      <c r="F74" s="102"/>
      <c r="G74" s="102"/>
      <c r="H74" s="102"/>
      <c r="I74" s="102"/>
      <c r="J74" s="113">
        <f>+K26</f>
        <v>1500</v>
      </c>
      <c r="K74" s="224"/>
      <c r="L74" s="325"/>
    </row>
    <row r="75" spans="1:14">
      <c r="B75" s="99" t="s">
        <v>155</v>
      </c>
      <c r="C75" s="112">
        <v>3623.8999999999996</v>
      </c>
      <c r="D75" s="102">
        <v>5680.8099999999995</v>
      </c>
      <c r="E75" s="102">
        <v>5127.9799999999996</v>
      </c>
      <c r="F75" s="102"/>
      <c r="G75" s="102"/>
      <c r="H75" s="102"/>
      <c r="I75" s="102"/>
      <c r="J75" s="113"/>
      <c r="K75" s="99"/>
      <c r="L75" s="106"/>
    </row>
    <row r="76" spans="1:14">
      <c r="B76" s="99" t="s">
        <v>156</v>
      </c>
      <c r="C76" s="112"/>
      <c r="D76" s="102"/>
      <c r="E76" s="102"/>
      <c r="F76" s="102"/>
      <c r="G76" s="102"/>
      <c r="H76" s="102"/>
      <c r="I76" s="102"/>
      <c r="J76" s="113"/>
      <c r="K76" s="99"/>
      <c r="L76" s="106"/>
    </row>
    <row r="77" spans="1:14">
      <c r="B77" s="99" t="s">
        <v>157</v>
      </c>
      <c r="C77" s="112"/>
      <c r="D77" s="102"/>
      <c r="E77" s="102"/>
      <c r="F77" s="102"/>
      <c r="G77" s="102"/>
      <c r="H77" s="102"/>
      <c r="I77" s="102"/>
      <c r="J77" s="113">
        <f>+K25</f>
        <v>60180</v>
      </c>
      <c r="K77" s="224"/>
      <c r="L77" s="325"/>
    </row>
    <row r="78" spans="1:14" s="3" customFormat="1" ht="14.25" hidden="1" customHeight="1">
      <c r="A78" s="138"/>
      <c r="B78" s="100" t="s">
        <v>4</v>
      </c>
      <c r="C78" s="110"/>
      <c r="D78" s="101">
        <v>18910.32</v>
      </c>
      <c r="E78" s="101">
        <v>6719.16</v>
      </c>
      <c r="F78" s="101"/>
      <c r="G78" s="101"/>
      <c r="H78" s="101"/>
      <c r="I78" s="101"/>
      <c r="J78" s="111" t="e">
        <f>J29</f>
        <v>#REF!</v>
      </c>
      <c r="K78" s="121" t="e">
        <f>+J78/J83</f>
        <v>#REF!</v>
      </c>
      <c r="L78" s="324"/>
      <c r="N78" s="6"/>
    </row>
    <row r="79" spans="1:14" ht="14.25" hidden="1" customHeight="1">
      <c r="B79" s="99" t="s">
        <v>158</v>
      </c>
      <c r="C79" s="112"/>
      <c r="D79" s="102"/>
      <c r="E79" s="102"/>
      <c r="F79" s="102"/>
      <c r="G79" s="102"/>
      <c r="H79" s="102"/>
      <c r="I79" s="102"/>
      <c r="J79" s="113" t="e">
        <f>+#REF!</f>
        <v>#REF!</v>
      </c>
      <c r="K79" s="99"/>
      <c r="L79" s="106"/>
    </row>
    <row r="80" spans="1:14" ht="14.25" hidden="1" customHeight="1">
      <c r="B80" s="99" t="s">
        <v>159</v>
      </c>
      <c r="C80" s="112"/>
      <c r="D80" s="102"/>
      <c r="E80" s="102"/>
      <c r="F80" s="102"/>
      <c r="G80" s="102"/>
      <c r="H80" s="102"/>
      <c r="I80" s="102"/>
      <c r="J80" s="113" t="e">
        <f>+#REF!</f>
        <v>#REF!</v>
      </c>
      <c r="K80" s="99"/>
      <c r="L80" s="106"/>
    </row>
    <row r="81" spans="1:14" s="3" customFormat="1" ht="14.25" hidden="1" customHeight="1">
      <c r="A81" s="138"/>
      <c r="B81" s="100" t="s">
        <v>154</v>
      </c>
      <c r="C81" s="110"/>
      <c r="D81" s="101">
        <v>11053.53</v>
      </c>
      <c r="E81" s="101">
        <v>10402.629999999999</v>
      </c>
      <c r="F81" s="101"/>
      <c r="G81" s="101"/>
      <c r="H81" s="101"/>
      <c r="I81" s="101"/>
      <c r="J81" s="111">
        <v>0</v>
      </c>
      <c r="K81" s="100"/>
      <c r="L81" s="326"/>
      <c r="N81" s="6"/>
    </row>
    <row r="82" spans="1:14" s="3" customFormat="1" ht="15">
      <c r="A82" s="138"/>
      <c r="B82" s="100" t="s">
        <v>154</v>
      </c>
      <c r="C82" s="110"/>
      <c r="D82" s="101"/>
      <c r="E82" s="101"/>
      <c r="F82" s="101"/>
      <c r="G82" s="101"/>
      <c r="H82" s="101"/>
      <c r="I82" s="101"/>
      <c r="J82" s="111">
        <f>+K29</f>
        <v>166041.29999999999</v>
      </c>
      <c r="K82" s="121">
        <f>+J82/J86</f>
        <v>0.72914259667409242</v>
      </c>
      <c r="L82" s="324"/>
      <c r="N82" s="6"/>
    </row>
    <row r="83" spans="1:14" s="108" customFormat="1" ht="14.25" hidden="1" customHeight="1">
      <c r="A83" s="139"/>
      <c r="B83" s="114" t="s">
        <v>19</v>
      </c>
      <c r="C83" s="115"/>
      <c r="D83" s="103">
        <v>38515.08</v>
      </c>
      <c r="E83" s="103">
        <v>109499.67</v>
      </c>
      <c r="F83" s="103"/>
      <c r="G83" s="103"/>
      <c r="H83" s="103"/>
      <c r="I83" s="103"/>
      <c r="J83" s="116" t="e">
        <f>+J81+J78+J72+J82</f>
        <v>#REF!</v>
      </c>
      <c r="K83" s="122" t="e">
        <f>+J83/J83</f>
        <v>#REF!</v>
      </c>
      <c r="L83" s="327"/>
      <c r="N83" s="109"/>
    </row>
    <row r="84" spans="1:14" ht="14.25" hidden="1" customHeight="1">
      <c r="D84" s="6">
        <f>SUM(D60:D83)</f>
        <v>1131493.9200000002</v>
      </c>
      <c r="E84" s="6">
        <f>SUM(E60:E83)</f>
        <v>1098442.8799999999</v>
      </c>
      <c r="F84" s="6"/>
      <c r="G84" s="6"/>
      <c r="H84" s="6"/>
      <c r="I84" s="6"/>
    </row>
    <row r="85" spans="1:14" ht="15" hidden="1" customHeight="1">
      <c r="D85" s="6"/>
    </row>
    <row r="86" spans="1:14" ht="15">
      <c r="D86" s="6"/>
      <c r="E86" s="4"/>
      <c r="F86" s="4"/>
      <c r="G86" s="4"/>
      <c r="H86" s="4"/>
      <c r="I86" s="4"/>
      <c r="J86" s="5">
        <f>+J82+J72</f>
        <v>227721.3</v>
      </c>
      <c r="K86" s="225">
        <f>SUM(K72+K82)</f>
        <v>1</v>
      </c>
      <c r="L86" s="225"/>
    </row>
    <row r="87" spans="1:14" ht="15">
      <c r="A87" s="1"/>
      <c r="D87" s="6"/>
      <c r="E87" s="4"/>
      <c r="F87" s="4"/>
      <c r="G87" s="4"/>
      <c r="H87" s="4"/>
      <c r="I87" s="4"/>
      <c r="J87" s="1"/>
      <c r="N87" s="1"/>
    </row>
    <row r="88" spans="1:14">
      <c r="A88" s="1"/>
      <c r="D88" s="4"/>
      <c r="J88" s="1"/>
      <c r="N88" s="1"/>
    </row>
    <row r="89" spans="1:14">
      <c r="A89" s="1"/>
      <c r="B89" s="1" t="s">
        <v>18</v>
      </c>
      <c r="D89" s="4">
        <v>275000</v>
      </c>
      <c r="J89" s="1"/>
      <c r="N89" s="1"/>
    </row>
    <row r="90" spans="1:14">
      <c r="A90" s="1"/>
      <c r="D90" s="4">
        <v>124034.61</v>
      </c>
      <c r="J90" s="1"/>
      <c r="N90" s="1"/>
    </row>
    <row r="91" spans="1:14">
      <c r="A91" s="1"/>
      <c r="D91" s="4">
        <v>230349.98</v>
      </c>
      <c r="J91" s="1"/>
      <c r="N91" s="1"/>
    </row>
    <row r="92" spans="1:14">
      <c r="A92" s="1"/>
      <c r="D92" s="4">
        <v>169189.15</v>
      </c>
      <c r="J92" s="1"/>
      <c r="N92" s="1"/>
    </row>
    <row r="93" spans="1:14" ht="15">
      <c r="A93" s="1"/>
      <c r="D93" s="6">
        <f>SUM(D89:D92)</f>
        <v>798573.74</v>
      </c>
      <c r="J93" s="1"/>
      <c r="N93" s="1"/>
    </row>
    <row r="94" spans="1:14">
      <c r="A94" s="1"/>
      <c r="D94" s="4"/>
      <c r="J94" s="1"/>
      <c r="N94" s="1"/>
    </row>
    <row r="95" spans="1:14">
      <c r="A95" s="1"/>
      <c r="D95" s="4"/>
      <c r="J95" s="1"/>
      <c r="N95" s="1"/>
    </row>
    <row r="96" spans="1:14">
      <c r="A96" s="1"/>
      <c r="D96" s="4"/>
      <c r="J96" s="1"/>
      <c r="N96" s="1"/>
    </row>
    <row r="97" spans="1:14">
      <c r="A97" s="1"/>
      <c r="D97" s="4"/>
      <c r="J97" s="1"/>
      <c r="N97" s="1"/>
    </row>
    <row r="98" spans="1:14">
      <c r="A98" s="1"/>
      <c r="D98" s="4"/>
      <c r="J98" s="1"/>
      <c r="N98" s="1"/>
    </row>
    <row r="99" spans="1:14">
      <c r="A99" s="1"/>
      <c r="D99" s="4"/>
      <c r="J99" s="1"/>
      <c r="N99" s="1"/>
    </row>
    <row r="100" spans="1:14">
      <c r="A100" s="1"/>
      <c r="D100" s="4"/>
      <c r="J100" s="1"/>
      <c r="N100" s="1"/>
    </row>
  </sheetData>
  <mergeCells count="5">
    <mergeCell ref="A1:J1"/>
    <mergeCell ref="A2:J2"/>
    <mergeCell ref="A3:J3"/>
    <mergeCell ref="M27:N27"/>
    <mergeCell ref="B70:K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6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K402"/>
  <sheetViews>
    <sheetView topLeftCell="A252" zoomScale="130" zoomScaleNormal="130" zoomScaleSheetLayoutView="85" workbookViewId="0">
      <selection activeCell="B263" sqref="B263"/>
    </sheetView>
  </sheetViews>
  <sheetFormatPr baseColWidth="10" defaultRowHeight="11.25"/>
  <cols>
    <col min="1" max="1" width="10.5703125" style="97" customWidth="1"/>
    <col min="2" max="2" width="47.140625" style="123" customWidth="1"/>
    <col min="3" max="3" width="15" style="349" customWidth="1"/>
    <col min="4" max="4" width="14" style="342" customWidth="1"/>
    <col min="5" max="5" width="15.28515625" style="79" hidden="1" customWidth="1"/>
    <col min="6" max="6" width="0" style="80" hidden="1" customWidth="1"/>
    <col min="7" max="7" width="11.42578125" style="295"/>
    <col min="8" max="8" width="11.42578125" style="79"/>
    <col min="9" max="11" width="11.42578125" style="301"/>
    <col min="12" max="16384" width="11.42578125" style="80"/>
  </cols>
  <sheetData>
    <row r="1" spans="1:10">
      <c r="A1" s="376" t="s">
        <v>512</v>
      </c>
      <c r="B1" s="376"/>
      <c r="C1" s="376"/>
      <c r="D1" s="376"/>
    </row>
    <row r="2" spans="1:10">
      <c r="A2" s="81" t="s">
        <v>45</v>
      </c>
      <c r="B2" s="123" t="s">
        <v>46</v>
      </c>
    </row>
    <row r="3" spans="1:10" ht="12.75">
      <c r="A3" s="81" t="s">
        <v>22</v>
      </c>
      <c r="B3" s="123" t="s">
        <v>40</v>
      </c>
      <c r="C3" s="350"/>
      <c r="D3" s="289"/>
      <c r="E3" s="84"/>
    </row>
    <row r="4" spans="1:10">
      <c r="A4" s="85"/>
      <c r="B4" s="124"/>
      <c r="D4" s="343"/>
      <c r="E4" s="86"/>
    </row>
    <row r="5" spans="1:10">
      <c r="A5" s="87" t="s">
        <v>47</v>
      </c>
      <c r="B5" s="125" t="s">
        <v>48</v>
      </c>
      <c r="C5" s="285" t="s">
        <v>402</v>
      </c>
      <c r="D5" s="274" t="s">
        <v>49</v>
      </c>
      <c r="E5" s="83"/>
    </row>
    <row r="6" spans="1:10">
      <c r="A6" s="87"/>
      <c r="B6" s="125"/>
      <c r="C6" s="286"/>
      <c r="D6" s="274"/>
      <c r="E6" s="83"/>
    </row>
    <row r="7" spans="1:10">
      <c r="A7" s="87"/>
      <c r="B7" s="125" t="s">
        <v>235</v>
      </c>
      <c r="C7" s="286"/>
      <c r="D7" s="274">
        <f>C9</f>
        <v>61679.999779999998</v>
      </c>
      <c r="E7" s="82"/>
      <c r="F7" s="95"/>
      <c r="I7" s="301" t="s">
        <v>566</v>
      </c>
    </row>
    <row r="8" spans="1:10">
      <c r="A8" s="87"/>
      <c r="B8" s="125"/>
      <c r="C8" s="286"/>
      <c r="D8" s="274"/>
      <c r="E8" s="82"/>
      <c r="F8" s="95"/>
    </row>
    <row r="9" spans="1:10">
      <c r="A9" s="88" t="s">
        <v>508</v>
      </c>
      <c r="B9" s="98" t="s">
        <v>511</v>
      </c>
      <c r="C9" s="286">
        <f>C11+C31+C71+C76</f>
        <v>61679.999779999998</v>
      </c>
      <c r="D9" s="274"/>
      <c r="E9" s="82"/>
      <c r="F9" s="95"/>
    </row>
    <row r="10" spans="1:10">
      <c r="A10" s="87"/>
      <c r="B10" s="125"/>
      <c r="C10" s="286"/>
      <c r="D10" s="274"/>
      <c r="E10" s="82"/>
      <c r="F10" s="95"/>
      <c r="H10" s="79">
        <v>158573.43</v>
      </c>
      <c r="I10" s="368">
        <v>37.951000000000001</v>
      </c>
      <c r="J10" s="301">
        <f>H10*I10/I11</f>
        <v>60180.202419299996</v>
      </c>
    </row>
    <row r="11" spans="1:10">
      <c r="A11" s="269" t="s">
        <v>50</v>
      </c>
      <c r="B11" s="270" t="s">
        <v>401</v>
      </c>
      <c r="C11" s="284">
        <f>+C12+C15+C27+C24</f>
        <v>49334.849779999997</v>
      </c>
      <c r="D11" s="274"/>
      <c r="E11" s="82" t="s">
        <v>234</v>
      </c>
      <c r="F11" s="95">
        <f>D11+C74+C32+C73</f>
        <v>2880</v>
      </c>
      <c r="G11" s="296"/>
      <c r="I11" s="301">
        <v>100</v>
      </c>
    </row>
    <row r="12" spans="1:10">
      <c r="A12" s="87" t="s">
        <v>51</v>
      </c>
      <c r="B12" s="125" t="s">
        <v>52</v>
      </c>
      <c r="C12" s="285">
        <f>+C13</f>
        <v>36693.72</v>
      </c>
      <c r="D12" s="274"/>
      <c r="E12" s="82"/>
      <c r="F12" s="95"/>
    </row>
    <row r="13" spans="1:10">
      <c r="A13" s="88" t="s">
        <v>53</v>
      </c>
      <c r="B13" s="98" t="s">
        <v>54</v>
      </c>
      <c r="C13" s="286">
        <f>DISTRIBUTIVO!E18</f>
        <v>36693.72</v>
      </c>
      <c r="D13" s="274"/>
      <c r="E13" s="82"/>
      <c r="F13" s="95"/>
    </row>
    <row r="14" spans="1:10">
      <c r="A14" s="87"/>
      <c r="B14" s="125"/>
      <c r="C14" s="286"/>
      <c r="D14" s="274"/>
      <c r="E14" s="82"/>
      <c r="F14" s="95"/>
    </row>
    <row r="15" spans="1:10">
      <c r="A15" s="89" t="s">
        <v>55</v>
      </c>
      <c r="B15" s="126" t="s">
        <v>56</v>
      </c>
      <c r="C15" s="285">
        <f>SUM(C16:C17)</f>
        <v>5251.95</v>
      </c>
      <c r="D15" s="274"/>
      <c r="E15" s="82"/>
      <c r="F15" s="95"/>
    </row>
    <row r="16" spans="1:10">
      <c r="A16" s="90" t="s">
        <v>57</v>
      </c>
      <c r="B16" s="127" t="s">
        <v>58</v>
      </c>
      <c r="C16" s="286">
        <f>+DISTRIBUTIVO!F18</f>
        <v>3062.0099999999998</v>
      </c>
      <c r="D16" s="274"/>
      <c r="E16" s="82"/>
      <c r="F16" s="95"/>
    </row>
    <row r="17" spans="1:6">
      <c r="A17" s="90" t="s">
        <v>59</v>
      </c>
      <c r="B17" s="127" t="s">
        <v>60</v>
      </c>
      <c r="C17" s="286">
        <f>+DISTRIBUTIVO!G18</f>
        <v>2189.94</v>
      </c>
      <c r="D17" s="274"/>
      <c r="E17" s="82"/>
      <c r="F17" s="95"/>
    </row>
    <row r="18" spans="1:6">
      <c r="A18" s="90"/>
      <c r="B18" s="126"/>
      <c r="C18" s="285"/>
      <c r="D18" s="274"/>
      <c r="E18" s="82"/>
      <c r="F18" s="95"/>
    </row>
    <row r="19" spans="1:6" hidden="1">
      <c r="A19" s="87" t="s">
        <v>61</v>
      </c>
      <c r="B19" s="125" t="s">
        <v>62</v>
      </c>
      <c r="C19" s="285">
        <f>+C20+C22</f>
        <v>0</v>
      </c>
      <c r="D19" s="274"/>
      <c r="E19" s="82"/>
    </row>
    <row r="20" spans="1:6" hidden="1">
      <c r="A20" s="91" t="s">
        <v>63</v>
      </c>
      <c r="B20" s="128" t="s">
        <v>64</v>
      </c>
      <c r="C20" s="286">
        <v>0</v>
      </c>
      <c r="D20" s="274"/>
      <c r="E20" s="82"/>
    </row>
    <row r="21" spans="1:6" hidden="1">
      <c r="A21" s="91" t="s">
        <v>65</v>
      </c>
      <c r="B21" s="128" t="s">
        <v>66</v>
      </c>
      <c r="C21" s="286"/>
      <c r="D21" s="274"/>
    </row>
    <row r="22" spans="1:6" hidden="1">
      <c r="A22" s="91" t="s">
        <v>67</v>
      </c>
      <c r="B22" s="128" t="s">
        <v>68</v>
      </c>
      <c r="C22" s="286">
        <v>0</v>
      </c>
      <c r="D22" s="274"/>
      <c r="E22" s="82"/>
    </row>
    <row r="23" spans="1:6" hidden="1">
      <c r="A23" s="91"/>
      <c r="B23" s="128"/>
      <c r="C23" s="286"/>
      <c r="D23" s="274"/>
      <c r="E23" s="82"/>
    </row>
    <row r="24" spans="1:6">
      <c r="A24" s="366" t="s">
        <v>61</v>
      </c>
      <c r="B24" s="367" t="s">
        <v>62</v>
      </c>
      <c r="C24" s="285">
        <f>C25</f>
        <v>240.02</v>
      </c>
      <c r="D24" s="274"/>
      <c r="E24" s="82"/>
    </row>
    <row r="25" spans="1:6">
      <c r="A25" s="91" t="s">
        <v>565</v>
      </c>
      <c r="B25" s="128" t="s">
        <v>128</v>
      </c>
      <c r="C25" s="286">
        <v>240.02</v>
      </c>
      <c r="D25" s="274"/>
      <c r="E25" s="82"/>
    </row>
    <row r="26" spans="1:6">
      <c r="A26" s="91"/>
      <c r="B26" s="128"/>
      <c r="C26" s="286"/>
      <c r="D26" s="274"/>
      <c r="E26" s="82"/>
    </row>
    <row r="27" spans="1:6">
      <c r="A27" s="87" t="s">
        <v>69</v>
      </c>
      <c r="B27" s="125" t="s">
        <v>70</v>
      </c>
      <c r="C27" s="285">
        <f>SUM(C28:C29)</f>
        <v>7149.15978</v>
      </c>
      <c r="D27" s="274"/>
      <c r="E27" s="83"/>
    </row>
    <row r="28" spans="1:6">
      <c r="A28" s="92" t="s">
        <v>71</v>
      </c>
      <c r="B28" s="129" t="s">
        <v>72</v>
      </c>
      <c r="C28" s="286">
        <f>+DISTRIBUTIVO!I18</f>
        <v>4091.34978</v>
      </c>
      <c r="D28" s="274"/>
      <c r="E28" s="82"/>
    </row>
    <row r="29" spans="1:6">
      <c r="A29" s="92" t="s">
        <v>73</v>
      </c>
      <c r="B29" s="129" t="s">
        <v>74</v>
      </c>
      <c r="C29" s="286">
        <f>+DISTRIBUTIVO!H18</f>
        <v>3057.8099999999995</v>
      </c>
      <c r="D29" s="274"/>
      <c r="E29" s="82"/>
    </row>
    <row r="30" spans="1:6">
      <c r="A30" s="92"/>
      <c r="B30" s="129"/>
      <c r="C30" s="286"/>
      <c r="D30" s="274"/>
      <c r="E30" s="82"/>
    </row>
    <row r="31" spans="1:6">
      <c r="A31" s="297" t="s">
        <v>75</v>
      </c>
      <c r="B31" s="273" t="s">
        <v>400</v>
      </c>
      <c r="C31" s="284">
        <f>+C32+C37+C43++C47+C51+C54+C58+C68</f>
        <v>5240.2299999999996</v>
      </c>
      <c r="D31" s="274"/>
      <c r="E31" s="82"/>
    </row>
    <row r="32" spans="1:6">
      <c r="A32" s="93" t="s">
        <v>76</v>
      </c>
      <c r="B32" s="130" t="s">
        <v>77</v>
      </c>
      <c r="C32" s="285">
        <f>SUM(C33:C35)</f>
        <v>2300</v>
      </c>
      <c r="D32" s="274"/>
      <c r="E32" s="82"/>
    </row>
    <row r="33" spans="1:5" hidden="1">
      <c r="A33" s="92" t="s">
        <v>211</v>
      </c>
      <c r="B33" s="129" t="s">
        <v>6</v>
      </c>
      <c r="C33" s="286">
        <v>0</v>
      </c>
      <c r="D33" s="271"/>
      <c r="E33" s="82"/>
    </row>
    <row r="34" spans="1:5">
      <c r="A34" s="92" t="s">
        <v>78</v>
      </c>
      <c r="B34" s="129" t="s">
        <v>79</v>
      </c>
      <c r="C34" s="286">
        <v>600</v>
      </c>
      <c r="D34" s="274"/>
      <c r="E34" s="82"/>
    </row>
    <row r="35" spans="1:5">
      <c r="A35" s="92" t="s">
        <v>454</v>
      </c>
      <c r="B35" s="129" t="s">
        <v>542</v>
      </c>
      <c r="C35" s="286">
        <v>1700</v>
      </c>
      <c r="D35" s="274"/>
      <c r="E35" s="82"/>
    </row>
    <row r="36" spans="1:5">
      <c r="A36" s="92"/>
      <c r="B36" s="129"/>
      <c r="C36" s="286"/>
      <c r="D36" s="274"/>
      <c r="E36" s="82"/>
    </row>
    <row r="37" spans="1:5">
      <c r="A37" s="93" t="s">
        <v>80</v>
      </c>
      <c r="B37" s="130" t="s">
        <v>81</v>
      </c>
      <c r="C37" s="285">
        <f>SUM(C38:C41)</f>
        <v>700</v>
      </c>
      <c r="D37" s="274"/>
      <c r="E37" s="82"/>
    </row>
    <row r="38" spans="1:5" hidden="1">
      <c r="A38" s="92" t="s">
        <v>214</v>
      </c>
      <c r="B38" s="129" t="s">
        <v>134</v>
      </c>
      <c r="C38" s="286">
        <v>0</v>
      </c>
      <c r="D38" s="271"/>
      <c r="E38" s="82"/>
    </row>
    <row r="39" spans="1:5">
      <c r="A39" s="92" t="s">
        <v>117</v>
      </c>
      <c r="B39" s="129" t="s">
        <v>215</v>
      </c>
      <c r="C39" s="286">
        <v>700</v>
      </c>
      <c r="D39" s="274"/>
      <c r="E39" s="82"/>
    </row>
    <row r="40" spans="1:5" hidden="1">
      <c r="A40" s="92" t="s">
        <v>82</v>
      </c>
      <c r="B40" s="129" t="s">
        <v>83</v>
      </c>
      <c r="C40" s="286">
        <v>0</v>
      </c>
      <c r="D40" s="274"/>
      <c r="E40" s="82"/>
    </row>
    <row r="41" spans="1:5" hidden="1">
      <c r="A41" s="92" t="s">
        <v>84</v>
      </c>
      <c r="B41" s="129" t="s">
        <v>85</v>
      </c>
      <c r="C41" s="286">
        <v>0</v>
      </c>
      <c r="D41" s="274"/>
      <c r="E41" s="82"/>
    </row>
    <row r="42" spans="1:5">
      <c r="A42" s="92"/>
      <c r="B42" s="129"/>
      <c r="C42" s="286"/>
      <c r="D42" s="274"/>
      <c r="E42" s="82"/>
    </row>
    <row r="43" spans="1:5">
      <c r="A43" s="93" t="s">
        <v>86</v>
      </c>
      <c r="B43" s="130" t="s">
        <v>87</v>
      </c>
      <c r="C43" s="285">
        <f>SUM(C44:C45)</f>
        <v>700</v>
      </c>
      <c r="D43" s="274"/>
      <c r="E43" s="82"/>
    </row>
    <row r="44" spans="1:5">
      <c r="A44" s="92" t="s">
        <v>88</v>
      </c>
      <c r="B44" s="129" t="s">
        <v>89</v>
      </c>
      <c r="C44" s="286">
        <f>+PARTICIPATIVO!C35</f>
        <v>400</v>
      </c>
      <c r="D44" s="274"/>
      <c r="E44" s="82"/>
    </row>
    <row r="45" spans="1:5">
      <c r="A45" s="92" t="s">
        <v>90</v>
      </c>
      <c r="B45" s="129" t="s">
        <v>91</v>
      </c>
      <c r="C45" s="286">
        <f>+PARTICIPATIVO!C33</f>
        <v>300</v>
      </c>
      <c r="D45" s="274"/>
      <c r="E45" s="82"/>
    </row>
    <row r="46" spans="1:5" hidden="1">
      <c r="A46" s="92"/>
      <c r="B46" s="129"/>
      <c r="C46" s="286"/>
      <c r="D46" s="274"/>
      <c r="E46" s="82"/>
    </row>
    <row r="47" spans="1:5" hidden="1">
      <c r="A47" s="93" t="s">
        <v>92</v>
      </c>
      <c r="B47" s="130" t="s">
        <v>217</v>
      </c>
      <c r="C47" s="285">
        <f>SUM(C48:C49)</f>
        <v>0</v>
      </c>
      <c r="D47" s="274"/>
      <c r="E47" s="82"/>
    </row>
    <row r="48" spans="1:5" hidden="1">
      <c r="A48" s="92" t="s">
        <v>216</v>
      </c>
      <c r="B48" s="129" t="s">
        <v>218</v>
      </c>
      <c r="C48" s="286">
        <v>0</v>
      </c>
      <c r="D48" s="274"/>
      <c r="E48" s="82"/>
    </row>
    <row r="49" spans="1:5" hidden="1">
      <c r="A49" s="92" t="s">
        <v>94</v>
      </c>
      <c r="B49" s="129" t="s">
        <v>95</v>
      </c>
      <c r="C49" s="286">
        <v>0</v>
      </c>
      <c r="D49" s="274"/>
      <c r="E49" s="82"/>
    </row>
    <row r="50" spans="1:5">
      <c r="A50" s="92"/>
      <c r="B50" s="129"/>
      <c r="C50" s="286"/>
      <c r="D50" s="274"/>
      <c r="E50" s="82"/>
    </row>
    <row r="51" spans="1:5">
      <c r="A51" s="93" t="s">
        <v>256</v>
      </c>
      <c r="B51" s="130" t="s">
        <v>257</v>
      </c>
      <c r="C51" s="285">
        <f>+C52</f>
        <v>200</v>
      </c>
      <c r="D51" s="274"/>
      <c r="E51" s="82"/>
    </row>
    <row r="52" spans="1:5">
      <c r="A52" s="92" t="s">
        <v>255</v>
      </c>
      <c r="B52" s="129" t="s">
        <v>258</v>
      </c>
      <c r="C52" s="286">
        <v>200</v>
      </c>
      <c r="D52" s="274"/>
      <c r="E52" s="82"/>
    </row>
    <row r="53" spans="1:5">
      <c r="A53" s="92"/>
      <c r="B53" s="129"/>
      <c r="C53" s="286"/>
      <c r="D53" s="274"/>
      <c r="E53" s="82"/>
    </row>
    <row r="54" spans="1:5">
      <c r="A54" s="93" t="s">
        <v>96</v>
      </c>
      <c r="B54" s="130" t="s">
        <v>97</v>
      </c>
      <c r="C54" s="285">
        <f>SUM(C55:C56)</f>
        <v>700</v>
      </c>
      <c r="D54" s="274"/>
      <c r="E54" s="82"/>
    </row>
    <row r="55" spans="1:5">
      <c r="A55" s="92" t="s">
        <v>219</v>
      </c>
      <c r="B55" s="129" t="s">
        <v>220</v>
      </c>
      <c r="C55" s="286">
        <v>700</v>
      </c>
      <c r="D55" s="274"/>
      <c r="E55" s="82"/>
    </row>
    <row r="56" spans="1:5" hidden="1">
      <c r="A56" s="92" t="s">
        <v>98</v>
      </c>
      <c r="B56" s="129" t="s">
        <v>221</v>
      </c>
      <c r="C56" s="286">
        <v>0</v>
      </c>
      <c r="D56" s="274"/>
      <c r="E56" s="82"/>
    </row>
    <row r="57" spans="1:5">
      <c r="A57" s="92"/>
      <c r="B57" s="129"/>
      <c r="C57" s="286"/>
      <c r="D57" s="274"/>
      <c r="E57" s="82"/>
    </row>
    <row r="58" spans="1:5">
      <c r="A58" s="93" t="s">
        <v>99</v>
      </c>
      <c r="B58" s="130" t="s">
        <v>100</v>
      </c>
      <c r="C58" s="285">
        <f>SUM(C59:C66)</f>
        <v>340.23</v>
      </c>
      <c r="D58" s="274"/>
      <c r="E58" s="82"/>
    </row>
    <row r="59" spans="1:5" hidden="1">
      <c r="A59" s="92" t="s">
        <v>101</v>
      </c>
      <c r="B59" s="129" t="s">
        <v>102</v>
      </c>
      <c r="C59" s="286">
        <v>0</v>
      </c>
      <c r="D59" s="274"/>
      <c r="E59" s="82"/>
    </row>
    <row r="60" spans="1:5" hidden="1">
      <c r="A60" s="92" t="s">
        <v>103</v>
      </c>
      <c r="B60" s="129" t="s">
        <v>104</v>
      </c>
      <c r="C60" s="286">
        <v>0</v>
      </c>
      <c r="D60" s="274"/>
      <c r="E60" s="82"/>
    </row>
    <row r="61" spans="1:5" hidden="1">
      <c r="A61" s="92" t="s">
        <v>222</v>
      </c>
      <c r="B61" s="129" t="s">
        <v>223</v>
      </c>
      <c r="C61" s="286">
        <v>0</v>
      </c>
      <c r="D61" s="274"/>
      <c r="E61" s="82"/>
    </row>
    <row r="62" spans="1:5">
      <c r="A62" s="92" t="s">
        <v>105</v>
      </c>
      <c r="B62" s="129" t="s">
        <v>106</v>
      </c>
      <c r="C62" s="286">
        <v>200</v>
      </c>
      <c r="D62" s="274"/>
      <c r="E62" s="82"/>
    </row>
    <row r="63" spans="1:5">
      <c r="A63" s="92" t="s">
        <v>107</v>
      </c>
      <c r="B63" s="129" t="s">
        <v>108</v>
      </c>
      <c r="C63" s="286">
        <f>+PARTICIPATIVO!C37</f>
        <v>140.22999999999999</v>
      </c>
      <c r="D63" s="274"/>
      <c r="E63" s="82"/>
    </row>
    <row r="64" spans="1:5" hidden="1">
      <c r="A64" s="92" t="s">
        <v>109</v>
      </c>
      <c r="B64" s="129" t="s">
        <v>110</v>
      </c>
      <c r="C64" s="286">
        <v>0</v>
      </c>
      <c r="D64" s="274"/>
      <c r="E64" s="82"/>
    </row>
    <row r="65" spans="1:6" hidden="1">
      <c r="A65" s="92" t="s">
        <v>224</v>
      </c>
      <c r="B65" s="129" t="s">
        <v>225</v>
      </c>
      <c r="C65" s="286">
        <v>0</v>
      </c>
      <c r="D65" s="274"/>
      <c r="E65" s="82"/>
    </row>
    <row r="66" spans="1:6" hidden="1">
      <c r="A66" s="92" t="s">
        <v>111</v>
      </c>
      <c r="B66" s="129" t="s">
        <v>112</v>
      </c>
      <c r="C66" s="286">
        <v>0</v>
      </c>
      <c r="D66" s="274"/>
      <c r="E66" s="82"/>
    </row>
    <row r="67" spans="1:6">
      <c r="A67" s="92"/>
      <c r="B67" s="129"/>
      <c r="C67" s="286"/>
      <c r="D67" s="274"/>
      <c r="E67" s="82"/>
    </row>
    <row r="68" spans="1:6">
      <c r="A68" s="93" t="s">
        <v>563</v>
      </c>
      <c r="B68" s="130" t="s">
        <v>545</v>
      </c>
      <c r="C68" s="285">
        <f>C69</f>
        <v>300</v>
      </c>
      <c r="D68" s="274"/>
      <c r="E68" s="82"/>
    </row>
    <row r="69" spans="1:6" ht="22.5">
      <c r="A69" s="88" t="s">
        <v>564</v>
      </c>
      <c r="B69" s="98" t="s">
        <v>544</v>
      </c>
      <c r="C69" s="286">
        <v>300</v>
      </c>
      <c r="D69" s="274"/>
      <c r="E69" s="82"/>
    </row>
    <row r="70" spans="1:6">
      <c r="A70" s="92"/>
      <c r="B70" s="129"/>
      <c r="C70" s="286"/>
      <c r="D70" s="274"/>
      <c r="E70" s="82"/>
    </row>
    <row r="71" spans="1:6">
      <c r="A71" s="269" t="s">
        <v>113</v>
      </c>
      <c r="B71" s="270" t="s">
        <v>399</v>
      </c>
      <c r="C71" s="351">
        <f>+C72</f>
        <v>580</v>
      </c>
      <c r="D71" s="274"/>
      <c r="E71" s="82"/>
    </row>
    <row r="72" spans="1:6">
      <c r="A72" s="93" t="s">
        <v>114</v>
      </c>
      <c r="B72" s="130" t="s">
        <v>115</v>
      </c>
      <c r="C72" s="285">
        <f>SUM(C73:C74)</f>
        <v>580</v>
      </c>
      <c r="D72" s="344"/>
      <c r="E72" s="82"/>
    </row>
    <row r="73" spans="1:6">
      <c r="A73" s="92" t="s">
        <v>116</v>
      </c>
      <c r="B73" s="129" t="s">
        <v>226</v>
      </c>
      <c r="C73" s="286">
        <f>+PARTICIPATIVO!C39</f>
        <v>500</v>
      </c>
      <c r="D73" s="344"/>
      <c r="E73" s="82"/>
      <c r="F73" s="96"/>
    </row>
    <row r="74" spans="1:6">
      <c r="A74" s="92" t="s">
        <v>118</v>
      </c>
      <c r="B74" s="129" t="s">
        <v>119</v>
      </c>
      <c r="C74" s="286">
        <f>+PARTICIPATIVO!C38</f>
        <v>80</v>
      </c>
      <c r="D74" s="344"/>
      <c r="E74" s="82"/>
    </row>
    <row r="75" spans="1:6">
      <c r="A75" s="92"/>
      <c r="B75" s="129"/>
      <c r="C75" s="286"/>
      <c r="D75" s="344"/>
      <c r="E75" s="82"/>
    </row>
    <row r="76" spans="1:6">
      <c r="A76" s="269" t="s">
        <v>145</v>
      </c>
      <c r="B76" s="270" t="s">
        <v>398</v>
      </c>
      <c r="C76" s="351">
        <f>+C77+C81</f>
        <v>6524.92</v>
      </c>
      <c r="D76" s="274"/>
      <c r="E76" s="82"/>
    </row>
    <row r="77" spans="1:6">
      <c r="A77" s="93" t="s">
        <v>146</v>
      </c>
      <c r="B77" s="130" t="s">
        <v>147</v>
      </c>
      <c r="C77" s="285">
        <f>C78+C79</f>
        <v>6174.92</v>
      </c>
      <c r="D77" s="344"/>
      <c r="E77" s="82"/>
    </row>
    <row r="78" spans="1:6">
      <c r="A78" s="92" t="s">
        <v>148</v>
      </c>
      <c r="B78" s="129" t="s">
        <v>227</v>
      </c>
      <c r="C78" s="286">
        <v>4774.92</v>
      </c>
      <c r="D78" s="344"/>
      <c r="E78" s="82"/>
    </row>
    <row r="79" spans="1:6">
      <c r="A79" s="92" t="s">
        <v>567</v>
      </c>
      <c r="B79" s="129" t="s">
        <v>568</v>
      </c>
      <c r="C79" s="286">
        <v>1400</v>
      </c>
      <c r="D79" s="344"/>
      <c r="E79" s="82"/>
    </row>
    <row r="80" spans="1:6">
      <c r="A80" s="92"/>
      <c r="B80" s="129"/>
      <c r="C80" s="286"/>
      <c r="D80" s="344"/>
      <c r="E80" s="82"/>
    </row>
    <row r="81" spans="1:5">
      <c r="A81" s="93" t="s">
        <v>228</v>
      </c>
      <c r="B81" s="130" t="s">
        <v>229</v>
      </c>
      <c r="C81" s="285">
        <f>SUM(C82)</f>
        <v>350</v>
      </c>
      <c r="D81" s="344"/>
      <c r="E81" s="82"/>
    </row>
    <row r="82" spans="1:5">
      <c r="A82" s="92" t="s">
        <v>230</v>
      </c>
      <c r="B82" s="129" t="s">
        <v>231</v>
      </c>
      <c r="C82" s="286">
        <f>+PARTICIPATIVO!C42</f>
        <v>350</v>
      </c>
      <c r="D82" s="344"/>
      <c r="E82" s="82"/>
    </row>
    <row r="83" spans="1:5">
      <c r="A83" s="92"/>
      <c r="B83" s="129"/>
      <c r="C83" s="286"/>
      <c r="D83" s="344"/>
      <c r="E83" s="82"/>
    </row>
    <row r="87" spans="1:5">
      <c r="A87" s="81" t="s">
        <v>411</v>
      </c>
      <c r="B87" s="132" t="s">
        <v>37</v>
      </c>
    </row>
    <row r="88" spans="1:5">
      <c r="A88" s="81" t="s">
        <v>373</v>
      </c>
      <c r="B88" s="132" t="s">
        <v>436</v>
      </c>
    </row>
    <row r="90" spans="1:5">
      <c r="A90" s="87" t="s">
        <v>47</v>
      </c>
      <c r="B90" s="125" t="s">
        <v>48</v>
      </c>
      <c r="C90" s="285"/>
      <c r="D90" s="274" t="s">
        <v>49</v>
      </c>
    </row>
    <row r="91" spans="1:5">
      <c r="A91" s="87"/>
      <c r="B91" s="125"/>
      <c r="C91" s="285"/>
      <c r="D91" s="274"/>
    </row>
    <row r="92" spans="1:5" ht="33.75">
      <c r="A92" s="88"/>
      <c r="B92" s="257" t="s">
        <v>474</v>
      </c>
      <c r="C92" s="286"/>
      <c r="D92" s="290">
        <f>C109</f>
        <v>8850</v>
      </c>
    </row>
    <row r="93" spans="1:5" hidden="1">
      <c r="A93" s="87" t="s">
        <v>120</v>
      </c>
      <c r="B93" s="125" t="s">
        <v>236</v>
      </c>
      <c r="C93" s="285"/>
      <c r="D93" s="274">
        <f>+C94+C97+C104+C101</f>
        <v>13032</v>
      </c>
    </row>
    <row r="94" spans="1:5" hidden="1">
      <c r="A94" s="87" t="s">
        <v>121</v>
      </c>
      <c r="B94" s="125" t="s">
        <v>52</v>
      </c>
      <c r="C94" s="285">
        <f>+C95</f>
        <v>13032</v>
      </c>
      <c r="D94" s="274"/>
    </row>
    <row r="95" spans="1:5" hidden="1">
      <c r="A95" s="88" t="s">
        <v>122</v>
      </c>
      <c r="B95" s="98" t="s">
        <v>54</v>
      </c>
      <c r="C95" s="286">
        <f>+DISTRIBUTIVO!E42</f>
        <v>13032</v>
      </c>
      <c r="D95" s="274"/>
    </row>
    <row r="96" spans="1:5" hidden="1">
      <c r="A96" s="88"/>
      <c r="B96" s="98"/>
      <c r="C96" s="286"/>
      <c r="D96" s="274"/>
    </row>
    <row r="97" spans="1:5" hidden="1">
      <c r="A97" s="87" t="s">
        <v>123</v>
      </c>
      <c r="B97" s="125" t="s">
        <v>56</v>
      </c>
      <c r="C97" s="285">
        <f>+C98+C99</f>
        <v>0</v>
      </c>
      <c r="D97" s="274"/>
    </row>
    <row r="98" spans="1:5" hidden="1">
      <c r="A98" s="88" t="s">
        <v>124</v>
      </c>
      <c r="B98" s="98" t="s">
        <v>58</v>
      </c>
      <c r="C98" s="286">
        <v>0</v>
      </c>
      <c r="D98" s="274"/>
    </row>
    <row r="99" spans="1:5" hidden="1">
      <c r="A99" s="88" t="s">
        <v>125</v>
      </c>
      <c r="B99" s="98" t="s">
        <v>60</v>
      </c>
      <c r="C99" s="286">
        <v>0</v>
      </c>
      <c r="D99" s="274"/>
    </row>
    <row r="100" spans="1:5" hidden="1">
      <c r="A100" s="88"/>
      <c r="B100" s="98"/>
      <c r="C100" s="286"/>
      <c r="D100" s="274"/>
    </row>
    <row r="101" spans="1:5" hidden="1">
      <c r="A101" s="87" t="s">
        <v>126</v>
      </c>
      <c r="B101" s="125" t="s">
        <v>62</v>
      </c>
      <c r="C101" s="285">
        <f>+C102</f>
        <v>0</v>
      </c>
      <c r="D101" s="274"/>
      <c r="E101" s="80"/>
    </row>
    <row r="102" spans="1:5" hidden="1">
      <c r="A102" s="92" t="s">
        <v>127</v>
      </c>
      <c r="B102" s="129" t="s">
        <v>128</v>
      </c>
      <c r="C102" s="286">
        <v>0</v>
      </c>
      <c r="D102" s="274"/>
      <c r="E102" s="80"/>
    </row>
    <row r="103" spans="1:5" hidden="1">
      <c r="A103" s="96"/>
      <c r="B103" s="133"/>
      <c r="C103" s="286"/>
      <c r="D103" s="274"/>
      <c r="E103" s="80"/>
    </row>
    <row r="104" spans="1:5" hidden="1">
      <c r="A104" s="87" t="s">
        <v>129</v>
      </c>
      <c r="B104" s="125" t="s">
        <v>70</v>
      </c>
      <c r="C104" s="285">
        <f>+C105+C106</f>
        <v>0</v>
      </c>
      <c r="D104" s="274"/>
      <c r="E104" s="80"/>
    </row>
    <row r="105" spans="1:5" hidden="1">
      <c r="A105" s="88" t="s">
        <v>130</v>
      </c>
      <c r="B105" s="98" t="s">
        <v>72</v>
      </c>
      <c r="C105" s="286">
        <v>0</v>
      </c>
      <c r="D105" s="274"/>
      <c r="E105" s="80"/>
    </row>
    <row r="106" spans="1:5" hidden="1">
      <c r="A106" s="88" t="s">
        <v>131</v>
      </c>
      <c r="B106" s="98" t="s">
        <v>74</v>
      </c>
      <c r="C106" s="286">
        <v>0</v>
      </c>
      <c r="D106" s="274"/>
      <c r="E106" s="80"/>
    </row>
    <row r="107" spans="1:5" hidden="1">
      <c r="A107" s="88"/>
      <c r="B107" s="98"/>
      <c r="C107" s="286"/>
      <c r="D107" s="274"/>
      <c r="E107" s="80"/>
    </row>
    <row r="108" spans="1:5">
      <c r="A108" s="88"/>
      <c r="B108" s="125"/>
      <c r="C108" s="286"/>
      <c r="D108" s="274"/>
      <c r="E108" s="80"/>
    </row>
    <row r="109" spans="1:5">
      <c r="A109" s="87" t="s">
        <v>455</v>
      </c>
      <c r="B109" s="125" t="s">
        <v>456</v>
      </c>
      <c r="C109" s="286">
        <f>C110+C124</f>
        <v>8850</v>
      </c>
      <c r="D109" s="274"/>
      <c r="E109" s="80"/>
    </row>
    <row r="110" spans="1:5">
      <c r="A110" s="269" t="s">
        <v>132</v>
      </c>
      <c r="B110" s="270" t="s">
        <v>503</v>
      </c>
      <c r="C110" s="284">
        <f>C111+C114+C117+C120</f>
        <v>8550</v>
      </c>
      <c r="D110" s="274"/>
      <c r="E110" s="80"/>
    </row>
    <row r="111" spans="1:5">
      <c r="A111" s="87" t="s">
        <v>133</v>
      </c>
      <c r="B111" s="125" t="s">
        <v>81</v>
      </c>
      <c r="C111" s="285">
        <f>C112</f>
        <v>600</v>
      </c>
      <c r="D111" s="274"/>
      <c r="E111" s="80"/>
    </row>
    <row r="112" spans="1:5">
      <c r="A112" s="88" t="s">
        <v>463</v>
      </c>
      <c r="B112" s="98" t="s">
        <v>464</v>
      </c>
      <c r="C112" s="286">
        <v>600</v>
      </c>
      <c r="D112" s="274"/>
      <c r="E112" s="80"/>
    </row>
    <row r="113" spans="1:10">
      <c r="A113" s="88"/>
      <c r="B113" s="98"/>
      <c r="C113" s="286"/>
      <c r="D113" s="274"/>
      <c r="E113" s="80"/>
    </row>
    <row r="114" spans="1:10">
      <c r="A114" s="87" t="s">
        <v>135</v>
      </c>
      <c r="B114" s="125" t="s">
        <v>352</v>
      </c>
      <c r="C114" s="285">
        <f>+C115</f>
        <v>700</v>
      </c>
      <c r="D114" s="274"/>
      <c r="E114" s="80"/>
    </row>
    <row r="115" spans="1:10">
      <c r="A115" s="88" t="s">
        <v>406</v>
      </c>
      <c r="B115" s="98" t="s">
        <v>476</v>
      </c>
      <c r="C115" s="286">
        <v>700</v>
      </c>
      <c r="D115" s="271"/>
      <c r="E115" s="80"/>
      <c r="G115" s="306"/>
    </row>
    <row r="116" spans="1:10">
      <c r="A116" s="80"/>
      <c r="B116" s="80"/>
      <c r="C116" s="285"/>
      <c r="D116" s="274"/>
      <c r="E116" s="95"/>
    </row>
    <row r="117" spans="1:10" ht="22.5">
      <c r="A117" s="87" t="s">
        <v>136</v>
      </c>
      <c r="B117" s="130" t="s">
        <v>502</v>
      </c>
      <c r="C117" s="285">
        <f>+C118</f>
        <v>2250</v>
      </c>
      <c r="D117" s="274"/>
      <c r="E117" s="80"/>
    </row>
    <row r="118" spans="1:10">
      <c r="A118" s="88" t="s">
        <v>137</v>
      </c>
      <c r="B118" s="98" t="s">
        <v>458</v>
      </c>
      <c r="C118" s="286">
        <v>2250</v>
      </c>
      <c r="D118" s="274"/>
      <c r="E118" s="80"/>
      <c r="G118" s="306"/>
    </row>
    <row r="119" spans="1:10">
      <c r="A119" s="80"/>
      <c r="B119" s="80"/>
      <c r="C119" s="286"/>
      <c r="D119" s="274"/>
      <c r="E119" s="80"/>
    </row>
    <row r="120" spans="1:10">
      <c r="A120" s="87" t="s">
        <v>138</v>
      </c>
      <c r="B120" s="125" t="s">
        <v>360</v>
      </c>
      <c r="C120" s="285">
        <f>SUM(C121:C122)</f>
        <v>5000</v>
      </c>
      <c r="D120" s="274"/>
      <c r="E120" s="80"/>
    </row>
    <row r="121" spans="1:10">
      <c r="A121" s="88" t="s">
        <v>161</v>
      </c>
      <c r="B121" s="98" t="s">
        <v>162</v>
      </c>
      <c r="C121" s="286">
        <v>4000</v>
      </c>
      <c r="D121" s="271"/>
      <c r="E121" s="80"/>
      <c r="G121" s="306"/>
    </row>
    <row r="122" spans="1:10">
      <c r="A122" s="88" t="s">
        <v>232</v>
      </c>
      <c r="B122" s="98" t="s">
        <v>459</v>
      </c>
      <c r="C122" s="286">
        <v>1000</v>
      </c>
      <c r="D122" s="271"/>
      <c r="E122" s="80"/>
      <c r="G122" s="306"/>
      <c r="H122" s="80"/>
      <c r="I122" s="80"/>
      <c r="J122" s="80"/>
    </row>
    <row r="123" spans="1:10">
      <c r="C123" s="286"/>
      <c r="D123" s="271"/>
      <c r="E123" s="80"/>
      <c r="G123" s="306"/>
      <c r="H123" s="80"/>
      <c r="I123" s="80"/>
      <c r="J123" s="80"/>
    </row>
    <row r="124" spans="1:10">
      <c r="A124" s="297">
        <v>8.4</v>
      </c>
      <c r="B124" s="273" t="s">
        <v>550</v>
      </c>
      <c r="C124" s="284">
        <f>C125</f>
        <v>300</v>
      </c>
      <c r="D124" s="271"/>
      <c r="E124" s="80"/>
      <c r="G124" s="306"/>
      <c r="H124" s="80"/>
      <c r="I124" s="80"/>
      <c r="J124" s="80"/>
    </row>
    <row r="125" spans="1:10">
      <c r="A125" s="92" t="s">
        <v>543</v>
      </c>
      <c r="B125" s="129" t="s">
        <v>547</v>
      </c>
      <c r="C125" s="286">
        <f>C126</f>
        <v>300</v>
      </c>
      <c r="D125" s="271"/>
      <c r="E125" s="80"/>
      <c r="G125" s="306"/>
      <c r="H125" s="80"/>
      <c r="I125" s="80"/>
      <c r="J125" s="80"/>
    </row>
    <row r="126" spans="1:10">
      <c r="A126" s="92" t="s">
        <v>548</v>
      </c>
      <c r="B126" s="129" t="s">
        <v>549</v>
      </c>
      <c r="C126" s="286">
        <v>300</v>
      </c>
      <c r="D126" s="271"/>
      <c r="E126" s="80"/>
      <c r="G126" s="306"/>
      <c r="H126" s="80"/>
      <c r="I126" s="80"/>
      <c r="J126" s="80"/>
    </row>
    <row r="127" spans="1:10">
      <c r="A127" s="92"/>
      <c r="B127" s="129"/>
      <c r="C127" s="284"/>
      <c r="D127" s="271"/>
      <c r="E127" s="80"/>
      <c r="G127" s="306"/>
      <c r="H127" s="80"/>
      <c r="I127" s="80"/>
      <c r="J127" s="80"/>
    </row>
    <row r="128" spans="1:10" hidden="1">
      <c r="A128" s="92"/>
      <c r="B128" s="129"/>
      <c r="C128" s="284"/>
      <c r="D128" s="274"/>
      <c r="E128" s="80"/>
    </row>
    <row r="129" spans="1:7" hidden="1">
      <c r="A129" s="92"/>
      <c r="B129" s="129"/>
      <c r="C129" s="284"/>
      <c r="D129" s="271"/>
      <c r="E129" s="80"/>
    </row>
    <row r="130" spans="1:7" hidden="1">
      <c r="A130" s="92" t="s">
        <v>548</v>
      </c>
      <c r="B130" s="129" t="s">
        <v>549</v>
      </c>
      <c r="C130" s="286">
        <v>800</v>
      </c>
      <c r="D130" s="274">
        <f>C136+C139+C131</f>
        <v>0</v>
      </c>
      <c r="E130" s="140"/>
      <c r="F130" s="94"/>
    </row>
    <row r="131" spans="1:7" hidden="1">
      <c r="A131" s="87" t="s">
        <v>133</v>
      </c>
      <c r="B131" s="125" t="s">
        <v>81</v>
      </c>
      <c r="C131" s="285">
        <f>+C132+C133</f>
        <v>0</v>
      </c>
      <c r="D131" s="274"/>
      <c r="E131" s="80"/>
    </row>
    <row r="132" spans="1:7" hidden="1">
      <c r="A132" s="88" t="s">
        <v>240</v>
      </c>
      <c r="B132" s="98" t="s">
        <v>241</v>
      </c>
      <c r="C132" s="286"/>
      <c r="D132" s="274"/>
      <c r="E132" s="80"/>
      <c r="F132" s="95"/>
      <c r="G132" s="296"/>
    </row>
    <row r="133" spans="1:7" hidden="1">
      <c r="A133" s="87"/>
      <c r="B133" s="125"/>
      <c r="C133" s="285"/>
      <c r="D133" s="274"/>
      <c r="E133" s="80"/>
      <c r="G133" s="296"/>
    </row>
    <row r="134" spans="1:7" hidden="1">
      <c r="A134" s="88"/>
      <c r="B134" s="98"/>
      <c r="C134" s="286"/>
      <c r="D134" s="274"/>
      <c r="E134" s="80"/>
    </row>
    <row r="135" spans="1:7" hidden="1">
      <c r="A135" s="88"/>
      <c r="B135" s="98"/>
      <c r="C135" s="286"/>
      <c r="D135" s="274"/>
      <c r="E135" s="80"/>
    </row>
    <row r="136" spans="1:7" hidden="1">
      <c r="A136" s="87" t="s">
        <v>136</v>
      </c>
      <c r="B136" s="125" t="s">
        <v>93</v>
      </c>
      <c r="C136" s="285">
        <f>+C137</f>
        <v>0</v>
      </c>
      <c r="D136" s="274"/>
      <c r="E136" s="80"/>
    </row>
    <row r="137" spans="1:7" hidden="1">
      <c r="A137" s="88" t="s">
        <v>137</v>
      </c>
      <c r="B137" s="98" t="s">
        <v>95</v>
      </c>
      <c r="D137" s="274"/>
    </row>
    <row r="138" spans="1:7" hidden="1">
      <c r="A138" s="88"/>
      <c r="B138" s="98"/>
      <c r="C138" s="286"/>
      <c r="D138" s="274"/>
      <c r="E138" s="80"/>
    </row>
    <row r="139" spans="1:7" hidden="1">
      <c r="A139" s="87" t="s">
        <v>138</v>
      </c>
      <c r="B139" s="125" t="s">
        <v>346</v>
      </c>
      <c r="C139" s="285">
        <f>C141+C140+C142</f>
        <v>0</v>
      </c>
      <c r="D139" s="274"/>
      <c r="E139" s="80"/>
    </row>
    <row r="140" spans="1:7" hidden="1">
      <c r="A140" s="88" t="s">
        <v>161</v>
      </c>
      <c r="B140" s="98" t="s">
        <v>162</v>
      </c>
      <c r="C140" s="286"/>
      <c r="D140" s="274"/>
      <c r="E140" s="80"/>
    </row>
    <row r="141" spans="1:7" hidden="1">
      <c r="A141" s="88" t="s">
        <v>139</v>
      </c>
      <c r="B141" s="98" t="s">
        <v>106</v>
      </c>
      <c r="C141" s="286"/>
      <c r="D141" s="274"/>
      <c r="E141" s="80"/>
      <c r="G141" s="296"/>
    </row>
    <row r="142" spans="1:7" hidden="1">
      <c r="A142" s="88" t="s">
        <v>232</v>
      </c>
      <c r="B142" s="98" t="s">
        <v>233</v>
      </c>
      <c r="C142" s="286"/>
      <c r="D142" s="274"/>
      <c r="E142" s="80"/>
      <c r="G142" s="296"/>
    </row>
    <row r="143" spans="1:7" hidden="1">
      <c r="A143" s="88"/>
      <c r="B143" s="98"/>
      <c r="C143" s="286"/>
      <c r="D143" s="274"/>
      <c r="E143" s="80"/>
      <c r="G143" s="296"/>
    </row>
    <row r="144" spans="1:7" hidden="1">
      <c r="A144" s="88" t="s">
        <v>232</v>
      </c>
      <c r="B144" s="98" t="s">
        <v>347</v>
      </c>
      <c r="C144" s="286"/>
      <c r="D144" s="274"/>
      <c r="E144" s="80"/>
      <c r="G144" s="296"/>
    </row>
    <row r="145" spans="1:7" hidden="1">
      <c r="A145" s="88"/>
      <c r="B145" s="130"/>
      <c r="C145" s="286"/>
      <c r="D145" s="274"/>
      <c r="G145" s="296"/>
    </row>
    <row r="146" spans="1:7">
      <c r="A146" s="88"/>
      <c r="B146" s="257" t="s">
        <v>437</v>
      </c>
      <c r="C146" s="286"/>
      <c r="D146" s="290">
        <f>C149</f>
        <v>5400</v>
      </c>
      <c r="G146" s="296"/>
    </row>
    <row r="147" spans="1:7">
      <c r="A147" s="88"/>
      <c r="B147" s="130"/>
      <c r="C147" s="286"/>
      <c r="D147" s="274"/>
      <c r="G147" s="296"/>
    </row>
    <row r="148" spans="1:7">
      <c r="A148" s="88" t="s">
        <v>455</v>
      </c>
      <c r="B148" s="98" t="s">
        <v>456</v>
      </c>
      <c r="C148" s="286">
        <f>C149</f>
        <v>5400</v>
      </c>
      <c r="D148" s="274"/>
      <c r="G148" s="296"/>
    </row>
    <row r="149" spans="1:7">
      <c r="A149" s="269" t="s">
        <v>132</v>
      </c>
      <c r="B149" s="270" t="s">
        <v>503</v>
      </c>
      <c r="C149" s="285">
        <f>C150+C153</f>
        <v>5400</v>
      </c>
      <c r="D149" s="274"/>
      <c r="G149" s="296"/>
    </row>
    <row r="150" spans="1:7">
      <c r="A150" s="87" t="s">
        <v>135</v>
      </c>
      <c r="B150" s="125" t="s">
        <v>352</v>
      </c>
      <c r="C150" s="285">
        <f>C151</f>
        <v>1500</v>
      </c>
      <c r="D150" s="274"/>
      <c r="G150" s="296"/>
    </row>
    <row r="151" spans="1:7">
      <c r="A151" s="88" t="s">
        <v>406</v>
      </c>
      <c r="B151" s="98" t="s">
        <v>457</v>
      </c>
      <c r="C151" s="286">
        <v>1500</v>
      </c>
      <c r="D151" s="274"/>
      <c r="G151" s="307"/>
    </row>
    <row r="152" spans="1:7">
      <c r="A152" s="80"/>
      <c r="B152" s="80"/>
      <c r="C152" s="352"/>
      <c r="D152" s="274"/>
      <c r="E152" s="95"/>
      <c r="F152" s="95"/>
    </row>
    <row r="153" spans="1:7">
      <c r="A153" s="87" t="s">
        <v>138</v>
      </c>
      <c r="B153" s="125" t="s">
        <v>360</v>
      </c>
      <c r="C153" s="285">
        <f>C154+C155</f>
        <v>3900</v>
      </c>
      <c r="D153" s="274"/>
      <c r="G153" s="296"/>
    </row>
    <row r="154" spans="1:7">
      <c r="A154" s="88" t="s">
        <v>161</v>
      </c>
      <c r="B154" s="98" t="s">
        <v>162</v>
      </c>
      <c r="C154" s="286">
        <v>3500</v>
      </c>
      <c r="D154" s="274"/>
      <c r="G154" s="307"/>
    </row>
    <row r="155" spans="1:7">
      <c r="A155" s="88" t="s">
        <v>232</v>
      </c>
      <c r="B155" s="98" t="s">
        <v>459</v>
      </c>
      <c r="C155" s="286">
        <v>400</v>
      </c>
      <c r="D155" s="274"/>
      <c r="G155" s="296"/>
    </row>
    <row r="156" spans="1:7">
      <c r="A156" s="88"/>
      <c r="B156" s="130" t="s">
        <v>460</v>
      </c>
      <c r="C156" s="286"/>
      <c r="D156" s="274"/>
      <c r="G156" s="296"/>
    </row>
    <row r="157" spans="1:7" ht="22.5">
      <c r="A157" s="88"/>
      <c r="B157" s="257" t="s">
        <v>443</v>
      </c>
      <c r="C157" s="285"/>
      <c r="D157" s="290">
        <f>C161</f>
        <v>800</v>
      </c>
      <c r="G157" s="296"/>
    </row>
    <row r="158" spans="1:7">
      <c r="A158" s="88"/>
      <c r="B158" s="130"/>
      <c r="C158" s="285"/>
      <c r="D158" s="274"/>
      <c r="G158" s="296"/>
    </row>
    <row r="159" spans="1:7">
      <c r="A159" s="88" t="s">
        <v>455</v>
      </c>
      <c r="B159" s="129" t="s">
        <v>456</v>
      </c>
      <c r="C159" s="286">
        <f>C160</f>
        <v>800</v>
      </c>
      <c r="D159" s="274"/>
      <c r="G159" s="296"/>
    </row>
    <row r="160" spans="1:7">
      <c r="A160" s="269" t="s">
        <v>132</v>
      </c>
      <c r="B160" s="273" t="s">
        <v>503</v>
      </c>
      <c r="C160" s="285">
        <f>C161</f>
        <v>800</v>
      </c>
      <c r="D160" s="274"/>
      <c r="G160" s="296"/>
    </row>
    <row r="161" spans="1:7" ht="22.5">
      <c r="A161" s="87" t="s">
        <v>136</v>
      </c>
      <c r="B161" s="130" t="s">
        <v>502</v>
      </c>
      <c r="C161" s="285">
        <f>C162</f>
        <v>800</v>
      </c>
      <c r="D161" s="274"/>
      <c r="G161" s="296"/>
    </row>
    <row r="162" spans="1:7">
      <c r="A162" s="88" t="s">
        <v>394</v>
      </c>
      <c r="B162" s="129" t="s">
        <v>504</v>
      </c>
      <c r="C162" s="286">
        <v>800</v>
      </c>
      <c r="D162" s="274"/>
      <c r="G162" s="307"/>
    </row>
    <row r="163" spans="1:7">
      <c r="A163" s="88"/>
      <c r="B163" s="129"/>
      <c r="C163" s="285"/>
      <c r="D163" s="274"/>
      <c r="G163" s="296"/>
    </row>
    <row r="164" spans="1:7">
      <c r="A164" s="88"/>
      <c r="B164" s="125"/>
      <c r="C164" s="286"/>
      <c r="D164" s="274"/>
      <c r="G164" s="296"/>
    </row>
    <row r="165" spans="1:7">
      <c r="A165" s="88"/>
      <c r="B165" s="98"/>
      <c r="C165" s="286"/>
      <c r="D165" s="274"/>
      <c r="G165" s="296"/>
    </row>
    <row r="167" spans="1:7">
      <c r="A167" s="81" t="s">
        <v>411</v>
      </c>
      <c r="B167" s="132" t="s">
        <v>140</v>
      </c>
      <c r="E167" s="80"/>
    </row>
    <row r="168" spans="1:7">
      <c r="A168" s="81" t="s">
        <v>39</v>
      </c>
      <c r="B168" s="132" t="s">
        <v>36</v>
      </c>
      <c r="E168" s="80"/>
    </row>
    <row r="170" spans="1:7" hidden="1">
      <c r="A170" s="87" t="s">
        <v>47</v>
      </c>
      <c r="B170" s="125" t="s">
        <v>48</v>
      </c>
      <c r="C170" s="285"/>
      <c r="D170" s="274" t="s">
        <v>49</v>
      </c>
      <c r="E170" s="80"/>
    </row>
    <row r="171" spans="1:7" hidden="1">
      <c r="A171" s="87"/>
      <c r="B171" s="125"/>
      <c r="C171" s="285"/>
      <c r="D171" s="274"/>
      <c r="E171" s="80"/>
    </row>
    <row r="172" spans="1:7" ht="22.5" hidden="1">
      <c r="A172" s="88"/>
      <c r="B172" s="125" t="s">
        <v>397</v>
      </c>
      <c r="C172" s="286"/>
      <c r="D172" s="274">
        <f>+C174+C178+C182+C185+C188</f>
        <v>19828.439999999999</v>
      </c>
      <c r="E172" s="80"/>
    </row>
    <row r="173" spans="1:7" hidden="1">
      <c r="A173" s="87" t="s">
        <v>120</v>
      </c>
      <c r="B173" s="125" t="s">
        <v>236</v>
      </c>
      <c r="C173" s="285"/>
      <c r="D173" s="274"/>
      <c r="E173" s="95"/>
      <c r="F173" s="95"/>
    </row>
    <row r="174" spans="1:7" hidden="1">
      <c r="A174" s="87" t="s">
        <v>121</v>
      </c>
      <c r="B174" s="125" t="s">
        <v>52</v>
      </c>
      <c r="C174" s="285">
        <f>+C175+C176</f>
        <v>4560</v>
      </c>
      <c r="D174" s="274"/>
      <c r="E174" s="80"/>
    </row>
    <row r="175" spans="1:7" hidden="1">
      <c r="A175" s="88" t="s">
        <v>122</v>
      </c>
      <c r="B175" s="98" t="s">
        <v>54</v>
      </c>
      <c r="C175" s="286">
        <v>0</v>
      </c>
      <c r="D175" s="274"/>
      <c r="E175" s="95"/>
    </row>
    <row r="176" spans="1:7" hidden="1">
      <c r="A176" s="88" t="s">
        <v>142</v>
      </c>
      <c r="B176" s="98" t="s">
        <v>143</v>
      </c>
      <c r="C176" s="286">
        <f>+DISTRIBUTIVO!E21</f>
        <v>4560</v>
      </c>
      <c r="D176" s="274"/>
      <c r="E176" s="80"/>
    </row>
    <row r="177" spans="1:5" hidden="1">
      <c r="A177" s="87"/>
      <c r="B177" s="125"/>
      <c r="C177" s="285"/>
      <c r="D177" s="274"/>
      <c r="E177" s="80"/>
    </row>
    <row r="178" spans="1:5" hidden="1">
      <c r="A178" s="87" t="s">
        <v>123</v>
      </c>
      <c r="B178" s="125" t="s">
        <v>56</v>
      </c>
      <c r="C178" s="285">
        <f>+C179+C180</f>
        <v>760</v>
      </c>
      <c r="D178" s="274"/>
      <c r="E178" s="80"/>
    </row>
    <row r="179" spans="1:5" hidden="1">
      <c r="A179" s="88" t="s">
        <v>124</v>
      </c>
      <c r="B179" s="98" t="s">
        <v>58</v>
      </c>
      <c r="C179" s="286">
        <f>+DISTRIBUTIVO!F21</f>
        <v>380</v>
      </c>
      <c r="D179" s="274"/>
      <c r="E179" s="95"/>
    </row>
    <row r="180" spans="1:5" hidden="1">
      <c r="A180" s="88" t="s">
        <v>125</v>
      </c>
      <c r="B180" s="98" t="s">
        <v>60</v>
      </c>
      <c r="C180" s="286">
        <f>+DISTRIBUTIVO!G21</f>
        <v>380</v>
      </c>
      <c r="D180" s="274"/>
      <c r="E180" s="95"/>
    </row>
    <row r="181" spans="1:5" hidden="1">
      <c r="A181" s="87"/>
      <c r="B181" s="125"/>
      <c r="C181" s="285"/>
      <c r="D181" s="274"/>
      <c r="E181" s="80"/>
    </row>
    <row r="182" spans="1:5" hidden="1">
      <c r="A182" s="87" t="s">
        <v>129</v>
      </c>
      <c r="B182" s="125" t="s">
        <v>70</v>
      </c>
      <c r="C182" s="285">
        <f>+C183+C184</f>
        <v>508.43999999999994</v>
      </c>
      <c r="D182" s="274"/>
      <c r="E182" s="80"/>
    </row>
    <row r="183" spans="1:5" hidden="1">
      <c r="A183" s="88" t="s">
        <v>130</v>
      </c>
      <c r="B183" s="98" t="s">
        <v>72</v>
      </c>
      <c r="C183" s="286">
        <f>+DISTRIBUTIVO!I21</f>
        <v>508.43999999999994</v>
      </c>
      <c r="D183" s="274"/>
      <c r="E183" s="80"/>
    </row>
    <row r="184" spans="1:5" hidden="1">
      <c r="A184" s="88"/>
      <c r="B184" s="98"/>
      <c r="C184" s="286"/>
      <c r="D184" s="274"/>
      <c r="E184" s="80"/>
    </row>
    <row r="185" spans="1:5" hidden="1">
      <c r="A185" s="87" t="s">
        <v>348</v>
      </c>
      <c r="B185" s="125" t="s">
        <v>349</v>
      </c>
      <c r="C185" s="285">
        <f>+C186</f>
        <v>0</v>
      </c>
      <c r="D185" s="274"/>
      <c r="E185" s="80"/>
    </row>
    <row r="186" spans="1:5" hidden="1">
      <c r="A186" s="88" t="s">
        <v>350</v>
      </c>
      <c r="B186" s="98" t="s">
        <v>351</v>
      </c>
      <c r="C186" s="286">
        <v>0</v>
      </c>
      <c r="D186" s="274"/>
      <c r="E186" s="80"/>
    </row>
    <row r="187" spans="1:5" hidden="1">
      <c r="A187" s="228"/>
      <c r="B187" s="229"/>
      <c r="C187" s="353"/>
      <c r="D187" s="345"/>
      <c r="E187" s="80"/>
    </row>
    <row r="188" spans="1:5" hidden="1">
      <c r="A188" s="87" t="s">
        <v>136</v>
      </c>
      <c r="B188" s="125" t="s">
        <v>62</v>
      </c>
      <c r="C188" s="285">
        <f>+C189</f>
        <v>14000</v>
      </c>
      <c r="D188" s="345"/>
      <c r="E188" s="80"/>
    </row>
    <row r="189" spans="1:5" hidden="1">
      <c r="A189" s="88" t="s">
        <v>405</v>
      </c>
      <c r="B189" s="98" t="s">
        <v>128</v>
      </c>
      <c r="C189" s="286">
        <v>14000</v>
      </c>
      <c r="D189" s="345"/>
      <c r="E189" s="80"/>
    </row>
    <row r="190" spans="1:5">
      <c r="A190" s="228"/>
      <c r="B190" s="229"/>
      <c r="C190" s="353"/>
      <c r="D190" s="345"/>
      <c r="E190" s="80"/>
    </row>
    <row r="191" spans="1:5">
      <c r="A191" s="242" t="s">
        <v>412</v>
      </c>
      <c r="B191" s="265" t="s">
        <v>446</v>
      </c>
      <c r="E191" s="80"/>
    </row>
    <row r="192" spans="1:5">
      <c r="A192" s="244"/>
      <c r="B192" s="80"/>
      <c r="C192" s="354"/>
      <c r="D192" s="346"/>
      <c r="E192" s="80"/>
    </row>
    <row r="193" spans="1:11">
      <c r="A193" s="88"/>
      <c r="B193" s="98"/>
      <c r="C193" s="286"/>
      <c r="D193" s="274"/>
      <c r="E193" s="95"/>
      <c r="F193" s="95"/>
    </row>
    <row r="194" spans="1:11" ht="22.5">
      <c r="A194" s="88"/>
      <c r="B194" s="264" t="s">
        <v>444</v>
      </c>
      <c r="C194" s="355"/>
      <c r="D194" s="290">
        <f>C196</f>
        <v>7533.86</v>
      </c>
      <c r="E194" s="95"/>
      <c r="F194" s="95"/>
    </row>
    <row r="195" spans="1:11" s="96" customFormat="1">
      <c r="A195" s="88"/>
      <c r="B195" s="294"/>
      <c r="C195" s="286"/>
      <c r="D195" s="274"/>
      <c r="E195" s="278"/>
      <c r="F195" s="278"/>
      <c r="G195" s="295"/>
      <c r="H195" s="79"/>
      <c r="I195" s="79"/>
      <c r="J195" s="79"/>
      <c r="K195" s="79"/>
    </row>
    <row r="196" spans="1:11">
      <c r="A196" s="88" t="s">
        <v>455</v>
      </c>
      <c r="B196" s="98" t="s">
        <v>456</v>
      </c>
      <c r="C196" s="286">
        <f>C197</f>
        <v>7533.86</v>
      </c>
      <c r="D196" s="274"/>
      <c r="E196" s="95"/>
      <c r="F196" s="95"/>
    </row>
    <row r="197" spans="1:11">
      <c r="A197" s="87" t="s">
        <v>132</v>
      </c>
      <c r="B197" s="270" t="s">
        <v>509</v>
      </c>
      <c r="C197" s="285">
        <f>C198+C204+C207</f>
        <v>7533.86</v>
      </c>
      <c r="D197" s="274"/>
      <c r="E197" s="95"/>
      <c r="F197" s="95"/>
    </row>
    <row r="198" spans="1:11">
      <c r="A198" s="87" t="s">
        <v>133</v>
      </c>
      <c r="B198" s="125" t="s">
        <v>81</v>
      </c>
      <c r="C198" s="285">
        <f>SUM(C199:C202)</f>
        <v>6503.86</v>
      </c>
      <c r="D198" s="274"/>
      <c r="E198" s="95"/>
    </row>
    <row r="199" spans="1:11" ht="13.5" customHeight="1">
      <c r="A199" s="88" t="s">
        <v>481</v>
      </c>
      <c r="B199" s="98" t="s">
        <v>551</v>
      </c>
      <c r="C199" s="286">
        <v>2153.5500000000002</v>
      </c>
      <c r="D199" s="274"/>
      <c r="E199" s="95"/>
      <c r="G199" s="306"/>
    </row>
    <row r="200" spans="1:11" ht="13.5" customHeight="1">
      <c r="A200" s="88" t="s">
        <v>242</v>
      </c>
      <c r="B200" s="98" t="s">
        <v>480</v>
      </c>
      <c r="C200" s="286">
        <v>3003.86</v>
      </c>
      <c r="D200" s="274"/>
      <c r="E200" s="95"/>
      <c r="G200" s="306"/>
    </row>
    <row r="201" spans="1:11" ht="14.25" customHeight="1">
      <c r="A201" s="88" t="s">
        <v>461</v>
      </c>
      <c r="B201" s="98" t="s">
        <v>462</v>
      </c>
      <c r="C201" s="286">
        <v>500</v>
      </c>
      <c r="D201" s="274"/>
      <c r="E201" s="95"/>
      <c r="F201" s="95"/>
      <c r="G201" s="306"/>
    </row>
    <row r="202" spans="1:11">
      <c r="A202" s="88" t="s">
        <v>463</v>
      </c>
      <c r="B202" s="98" t="s">
        <v>464</v>
      </c>
      <c r="C202" s="286">
        <v>846.45</v>
      </c>
      <c r="D202" s="274"/>
      <c r="E202" s="95"/>
      <c r="F202" s="95"/>
    </row>
    <row r="203" spans="1:11">
      <c r="A203" s="88"/>
      <c r="B203" s="98"/>
      <c r="C203" s="286"/>
      <c r="D203" s="274"/>
      <c r="E203" s="95"/>
      <c r="F203" s="95"/>
    </row>
    <row r="204" spans="1:11">
      <c r="A204" s="87" t="s">
        <v>135</v>
      </c>
      <c r="B204" s="125" t="s">
        <v>352</v>
      </c>
      <c r="C204" s="285">
        <f>C205</f>
        <v>120</v>
      </c>
      <c r="D204" s="274"/>
      <c r="G204" s="296"/>
    </row>
    <row r="205" spans="1:11">
      <c r="A205" s="88" t="s">
        <v>406</v>
      </c>
      <c r="B205" s="98" t="s">
        <v>457</v>
      </c>
      <c r="C205" s="286">
        <v>120</v>
      </c>
      <c r="D205" s="274"/>
      <c r="G205" s="307"/>
    </row>
    <row r="206" spans="1:11">
      <c r="A206" s="88"/>
      <c r="B206" s="98"/>
      <c r="C206" s="286"/>
      <c r="D206" s="274"/>
      <c r="G206" s="307"/>
    </row>
    <row r="207" spans="1:11">
      <c r="A207" s="87" t="s">
        <v>138</v>
      </c>
      <c r="B207" s="125" t="s">
        <v>554</v>
      </c>
      <c r="C207" s="285">
        <f>C209+C208</f>
        <v>910</v>
      </c>
      <c r="D207" s="274"/>
      <c r="G207" s="307"/>
    </row>
    <row r="208" spans="1:11">
      <c r="A208" s="88" t="s">
        <v>161</v>
      </c>
      <c r="B208" s="98" t="s">
        <v>162</v>
      </c>
      <c r="C208" s="286">
        <v>560</v>
      </c>
      <c r="D208" s="274"/>
      <c r="G208" s="307"/>
    </row>
    <row r="209" spans="1:7">
      <c r="A209" s="88" t="s">
        <v>552</v>
      </c>
      <c r="B209" s="98" t="s">
        <v>553</v>
      </c>
      <c r="C209" s="286">
        <v>350</v>
      </c>
      <c r="D209" s="274"/>
      <c r="E209" s="95"/>
      <c r="F209" s="95"/>
    </row>
    <row r="210" spans="1:7">
      <c r="A210" s="88"/>
      <c r="B210" s="98"/>
      <c r="C210" s="286"/>
      <c r="D210" s="274"/>
      <c r="E210" s="95"/>
      <c r="F210" s="95"/>
    </row>
    <row r="211" spans="1:7">
      <c r="A211" s="88"/>
      <c r="B211" s="260" t="s">
        <v>447</v>
      </c>
      <c r="C211" s="356"/>
      <c r="D211" s="290">
        <f>+C214+C218</f>
        <v>3500</v>
      </c>
      <c r="E211" s="95"/>
    </row>
    <row r="212" spans="1:7">
      <c r="A212" s="88"/>
      <c r="B212" s="125"/>
      <c r="C212" s="285"/>
      <c r="D212" s="274"/>
      <c r="E212" s="95"/>
    </row>
    <row r="213" spans="1:7">
      <c r="A213" s="88" t="s">
        <v>455</v>
      </c>
      <c r="B213" s="98" t="s">
        <v>456</v>
      </c>
      <c r="C213" s="285">
        <f>C214+C218</f>
        <v>3500</v>
      </c>
      <c r="D213" s="274"/>
      <c r="E213" s="95"/>
    </row>
    <row r="214" spans="1:7">
      <c r="A214" s="272">
        <v>7.1</v>
      </c>
      <c r="B214" s="272" t="s">
        <v>501</v>
      </c>
      <c r="C214" s="284">
        <f>C215</f>
        <v>1000</v>
      </c>
      <c r="D214" s="274"/>
      <c r="E214" s="95"/>
    </row>
    <row r="215" spans="1:7">
      <c r="A215" s="87" t="s">
        <v>126</v>
      </c>
      <c r="B215" s="125" t="s">
        <v>353</v>
      </c>
      <c r="C215" s="285">
        <f>+C216</f>
        <v>1000</v>
      </c>
      <c r="D215" s="274"/>
      <c r="E215" s="95"/>
    </row>
    <row r="216" spans="1:7">
      <c r="A216" s="88" t="s">
        <v>465</v>
      </c>
      <c r="B216" s="98" t="s">
        <v>505</v>
      </c>
      <c r="C216" s="286">
        <v>1000</v>
      </c>
      <c r="D216" s="274"/>
      <c r="E216" s="95"/>
      <c r="G216" s="306"/>
    </row>
    <row r="217" spans="1:7">
      <c r="A217" s="88"/>
      <c r="B217" s="98"/>
      <c r="C217" s="286"/>
      <c r="D217" s="274"/>
      <c r="E217" s="95"/>
    </row>
    <row r="218" spans="1:7">
      <c r="A218" s="269" t="s">
        <v>132</v>
      </c>
      <c r="B218" s="270" t="s">
        <v>509</v>
      </c>
      <c r="C218" s="284">
        <f>+C222+C220</f>
        <v>2500</v>
      </c>
      <c r="D218" s="274"/>
      <c r="E218" s="95"/>
    </row>
    <row r="219" spans="1:7">
      <c r="A219" s="88" t="s">
        <v>133</v>
      </c>
      <c r="B219" s="125" t="s">
        <v>81</v>
      </c>
      <c r="C219" s="285">
        <f>C220</f>
        <v>1000</v>
      </c>
      <c r="D219" s="274"/>
      <c r="E219" s="95"/>
    </row>
    <row r="220" spans="1:7" ht="30" customHeight="1">
      <c r="A220" s="88" t="s">
        <v>463</v>
      </c>
      <c r="B220" s="369" t="s">
        <v>482</v>
      </c>
      <c r="C220" s="286">
        <v>1000</v>
      </c>
      <c r="D220" s="274"/>
      <c r="E220" s="95"/>
      <c r="G220" s="306"/>
    </row>
    <row r="221" spans="1:7">
      <c r="A221" s="88"/>
      <c r="B221" s="98"/>
      <c r="C221" s="286"/>
      <c r="D221" s="274"/>
      <c r="E221" s="95"/>
    </row>
    <row r="222" spans="1:7">
      <c r="A222" s="87" t="s">
        <v>138</v>
      </c>
      <c r="B222" s="134" t="s">
        <v>360</v>
      </c>
      <c r="C222" s="285">
        <f>SUM(C223:C223)</f>
        <v>1500</v>
      </c>
      <c r="D222" s="274"/>
      <c r="E222" s="95"/>
    </row>
    <row r="223" spans="1:7" ht="45">
      <c r="A223" s="88" t="s">
        <v>407</v>
      </c>
      <c r="B223" s="98" t="s">
        <v>506</v>
      </c>
      <c r="C223" s="286">
        <v>1500</v>
      </c>
      <c r="D223" s="274"/>
      <c r="E223" s="95"/>
    </row>
    <row r="224" spans="1:7">
      <c r="A224" s="88"/>
      <c r="B224" s="98"/>
      <c r="C224" s="286"/>
      <c r="D224" s="274"/>
      <c r="E224" s="95"/>
    </row>
    <row r="225" spans="1:5">
      <c r="E225" s="95"/>
    </row>
    <row r="226" spans="1:5">
      <c r="A226" s="94" t="s">
        <v>390</v>
      </c>
      <c r="B226" s="263" t="s">
        <v>528</v>
      </c>
      <c r="C226" s="357"/>
      <c r="E226" s="95"/>
    </row>
    <row r="227" spans="1:5">
      <c r="A227" s="94" t="s">
        <v>529</v>
      </c>
      <c r="B227" s="263" t="s">
        <v>530</v>
      </c>
      <c r="C227" s="357"/>
      <c r="E227" s="95"/>
    </row>
    <row r="228" spans="1:5" ht="22.5">
      <c r="A228" s="312"/>
      <c r="B228" s="260" t="s">
        <v>531</v>
      </c>
      <c r="C228" s="355"/>
      <c r="D228" s="290">
        <f>+C231+C235</f>
        <v>1000</v>
      </c>
      <c r="E228" s="95"/>
    </row>
    <row r="229" spans="1:5">
      <c r="A229" s="287"/>
      <c r="B229" s="253"/>
      <c r="C229" s="285"/>
      <c r="D229" s="274"/>
      <c r="E229" s="95"/>
    </row>
    <row r="230" spans="1:5">
      <c r="A230" s="80">
        <v>7</v>
      </c>
      <c r="B230" s="98" t="s">
        <v>456</v>
      </c>
      <c r="C230" s="286">
        <f>C231+C235</f>
        <v>1000</v>
      </c>
      <c r="D230" s="274"/>
      <c r="E230" s="95"/>
    </row>
    <row r="231" spans="1:5">
      <c r="A231" s="269" t="s">
        <v>120</v>
      </c>
      <c r="B231" s="279" t="s">
        <v>501</v>
      </c>
      <c r="C231" s="284">
        <f>C232</f>
        <v>500</v>
      </c>
      <c r="D231" s="274"/>
      <c r="E231" s="95"/>
    </row>
    <row r="232" spans="1:5">
      <c r="A232" s="88" t="s">
        <v>121</v>
      </c>
      <c r="B232" s="134" t="s">
        <v>353</v>
      </c>
      <c r="C232" s="285">
        <f>C233</f>
        <v>500</v>
      </c>
      <c r="D232" s="274"/>
      <c r="E232" s="95"/>
    </row>
    <row r="233" spans="1:5">
      <c r="A233" s="88" t="s">
        <v>532</v>
      </c>
      <c r="B233" s="98" t="s">
        <v>533</v>
      </c>
      <c r="C233" s="286">
        <v>500</v>
      </c>
      <c r="D233" s="274"/>
      <c r="E233" s="95"/>
    </row>
    <row r="234" spans="1:5">
      <c r="A234" s="88"/>
      <c r="B234" s="135"/>
      <c r="C234" s="285"/>
      <c r="D234" s="274"/>
      <c r="E234" s="95"/>
    </row>
    <row r="235" spans="1:5">
      <c r="A235" s="269" t="s">
        <v>132</v>
      </c>
      <c r="B235" s="270" t="s">
        <v>500</v>
      </c>
      <c r="C235" s="284">
        <f>C236</f>
        <v>500</v>
      </c>
      <c r="D235" s="274"/>
      <c r="E235" s="95"/>
    </row>
    <row r="236" spans="1:5">
      <c r="A236" s="280" t="s">
        <v>138</v>
      </c>
      <c r="B236" s="134" t="s">
        <v>360</v>
      </c>
      <c r="C236" s="285">
        <f>C237</f>
        <v>500</v>
      </c>
      <c r="D236" s="274"/>
      <c r="E236" s="95"/>
    </row>
    <row r="237" spans="1:5">
      <c r="A237" s="281" t="s">
        <v>534</v>
      </c>
      <c r="B237" s="129" t="s">
        <v>535</v>
      </c>
      <c r="C237" s="286">
        <v>500</v>
      </c>
      <c r="D237" s="274"/>
      <c r="E237" s="95"/>
    </row>
    <row r="238" spans="1:5">
      <c r="A238" s="281"/>
      <c r="B238" s="129"/>
      <c r="C238" s="285"/>
      <c r="D238" s="274"/>
      <c r="E238" s="95"/>
    </row>
    <row r="239" spans="1:5">
      <c r="E239" s="95"/>
    </row>
    <row r="240" spans="1:5">
      <c r="A240" s="242" t="s">
        <v>411</v>
      </c>
      <c r="B240" s="162" t="s">
        <v>440</v>
      </c>
      <c r="E240" s="95"/>
    </row>
    <row r="241" spans="1:7">
      <c r="A241" s="243" t="s">
        <v>413</v>
      </c>
      <c r="B241" s="162"/>
      <c r="E241" s="95"/>
    </row>
    <row r="242" spans="1:7">
      <c r="A242" s="230"/>
      <c r="B242" s="231"/>
      <c r="C242" s="354"/>
      <c r="D242" s="346"/>
      <c r="E242" s="95"/>
    </row>
    <row r="243" spans="1:7">
      <c r="A243" s="88"/>
      <c r="B243" s="260" t="s">
        <v>515</v>
      </c>
      <c r="C243" s="286"/>
      <c r="D243" s="290">
        <f>C245</f>
        <v>12500</v>
      </c>
      <c r="E243" s="95"/>
    </row>
    <row r="244" spans="1:7">
      <c r="A244" s="88"/>
      <c r="B244" s="98"/>
      <c r="C244" s="286"/>
      <c r="D244" s="274"/>
      <c r="E244" s="95"/>
    </row>
    <row r="245" spans="1:7">
      <c r="A245" s="88" t="s">
        <v>455</v>
      </c>
      <c r="B245" s="98" t="s">
        <v>456</v>
      </c>
      <c r="C245" s="286">
        <f>C246+C251+C255</f>
        <v>12500</v>
      </c>
      <c r="D245" s="274"/>
      <c r="E245" s="95"/>
    </row>
    <row r="246" spans="1:7">
      <c r="A246" s="272">
        <v>7.1</v>
      </c>
      <c r="B246" s="272" t="s">
        <v>501</v>
      </c>
      <c r="C246" s="284">
        <f>C247</f>
        <v>5000</v>
      </c>
      <c r="D246" s="274"/>
      <c r="E246" s="95"/>
    </row>
    <row r="247" spans="1:7">
      <c r="A247" s="87" t="s">
        <v>126</v>
      </c>
      <c r="B247" s="125" t="s">
        <v>353</v>
      </c>
      <c r="C247" s="285">
        <f>SUM(C248:C249)</f>
        <v>5000</v>
      </c>
      <c r="D247" s="274"/>
      <c r="E247" s="95"/>
    </row>
    <row r="248" spans="1:7">
      <c r="A248" s="88" t="s">
        <v>465</v>
      </c>
      <c r="B248" s="98" t="s">
        <v>483</v>
      </c>
      <c r="C248" s="286">
        <v>1500</v>
      </c>
      <c r="D248" s="274"/>
      <c r="E248" s="95"/>
    </row>
    <row r="249" spans="1:7">
      <c r="A249" s="88" t="s">
        <v>127</v>
      </c>
      <c r="B249" s="98" t="s">
        <v>128</v>
      </c>
      <c r="C249" s="286">
        <v>3500</v>
      </c>
      <c r="D249" s="274"/>
      <c r="E249" s="95"/>
    </row>
    <row r="250" spans="1:7">
      <c r="A250" s="88"/>
      <c r="B250" s="98"/>
      <c r="C250" s="286"/>
      <c r="D250" s="274"/>
      <c r="E250" s="95"/>
    </row>
    <row r="251" spans="1:7">
      <c r="A251" s="269" t="s">
        <v>132</v>
      </c>
      <c r="B251" s="270" t="s">
        <v>500</v>
      </c>
      <c r="C251" s="285">
        <f>C252</f>
        <v>2500</v>
      </c>
      <c r="D251" s="274"/>
      <c r="E251" s="95"/>
    </row>
    <row r="252" spans="1:7">
      <c r="A252" s="280" t="s">
        <v>138</v>
      </c>
      <c r="B252" s="134" t="s">
        <v>360</v>
      </c>
      <c r="C252" s="285">
        <f>C253</f>
        <v>2500</v>
      </c>
      <c r="D252" s="274"/>
      <c r="E252" s="95"/>
    </row>
    <row r="253" spans="1:7" ht="45" customHeight="1">
      <c r="A253" s="281" t="s">
        <v>407</v>
      </c>
      <c r="B253" s="98" t="s">
        <v>497</v>
      </c>
      <c r="C253" s="286">
        <v>2500</v>
      </c>
      <c r="D253" s="274"/>
      <c r="E253" s="95"/>
      <c r="G253" s="306"/>
    </row>
    <row r="254" spans="1:7" ht="12" customHeight="1">
      <c r="A254" s="281"/>
      <c r="B254" s="98"/>
      <c r="C254" s="286"/>
      <c r="D254" s="274"/>
      <c r="E254" s="95"/>
    </row>
    <row r="255" spans="1:7" ht="16.5" customHeight="1">
      <c r="A255" s="283" t="s">
        <v>376</v>
      </c>
      <c r="B255" s="270" t="s">
        <v>498</v>
      </c>
      <c r="C255" s="284">
        <f>C256</f>
        <v>5000</v>
      </c>
      <c r="D255" s="274"/>
      <c r="E255" s="95"/>
    </row>
    <row r="256" spans="1:7" ht="13.5" customHeight="1">
      <c r="A256" s="280" t="s">
        <v>375</v>
      </c>
      <c r="B256" s="125" t="s">
        <v>466</v>
      </c>
      <c r="C256" s="285">
        <f>C257</f>
        <v>5000</v>
      </c>
      <c r="D256" s="274"/>
      <c r="E256" s="95"/>
    </row>
    <row r="257" spans="1:11" ht="12.75" customHeight="1">
      <c r="A257" s="281" t="s">
        <v>467</v>
      </c>
      <c r="B257" s="98" t="s">
        <v>499</v>
      </c>
      <c r="C257" s="286">
        <v>5000</v>
      </c>
      <c r="D257" s="274"/>
      <c r="E257" s="95"/>
    </row>
    <row r="258" spans="1:11" ht="12.75" customHeight="1">
      <c r="A258" s="281"/>
      <c r="B258" s="98"/>
      <c r="C258" s="286"/>
      <c r="D258" s="274"/>
      <c r="E258" s="95"/>
    </row>
    <row r="259" spans="1:11" ht="12.75" customHeight="1">
      <c r="A259" s="281"/>
      <c r="B259" s="98"/>
      <c r="C259" s="286"/>
      <c r="D259" s="274"/>
      <c r="E259" s="95"/>
    </row>
    <row r="260" spans="1:11" ht="31.5" customHeight="1">
      <c r="A260" s="281"/>
      <c r="B260" s="313" t="s">
        <v>536</v>
      </c>
      <c r="C260" s="286"/>
      <c r="D260" s="290">
        <f>C262</f>
        <v>5228.8099999999995</v>
      </c>
      <c r="E260" s="95"/>
    </row>
    <row r="261" spans="1:11" ht="31.5" customHeight="1">
      <c r="A261" s="281"/>
      <c r="B261" s="309"/>
      <c r="C261" s="286"/>
      <c r="D261" s="274"/>
      <c r="E261" s="95"/>
    </row>
    <row r="262" spans="1:11" ht="12.75" customHeight="1">
      <c r="A262" s="283" t="s">
        <v>376</v>
      </c>
      <c r="B262" s="270" t="s">
        <v>498</v>
      </c>
      <c r="C262" s="284">
        <f>C263</f>
        <v>5228.8099999999995</v>
      </c>
      <c r="D262" s="274"/>
      <c r="E262" s="95"/>
    </row>
    <row r="263" spans="1:11" ht="12.75" customHeight="1">
      <c r="A263" s="280" t="s">
        <v>375</v>
      </c>
      <c r="B263" s="125" t="s">
        <v>537</v>
      </c>
      <c r="C263" s="285">
        <f>C264+C265</f>
        <v>5228.8099999999995</v>
      </c>
      <c r="D263" s="274"/>
      <c r="E263" s="95"/>
    </row>
    <row r="264" spans="1:11" ht="12.75" customHeight="1">
      <c r="A264" s="281" t="s">
        <v>467</v>
      </c>
      <c r="B264" s="98" t="s">
        <v>539</v>
      </c>
      <c r="C264" s="286">
        <v>4028.81</v>
      </c>
      <c r="D264" s="274"/>
      <c r="E264" s="95"/>
    </row>
    <row r="265" spans="1:11" ht="24" customHeight="1">
      <c r="A265" s="281" t="s">
        <v>538</v>
      </c>
      <c r="B265" s="310" t="s">
        <v>540</v>
      </c>
      <c r="C265" s="286">
        <v>1200</v>
      </c>
      <c r="D265" s="274"/>
      <c r="E265" s="95"/>
    </row>
    <row r="266" spans="1:11" ht="12.75" customHeight="1">
      <c r="A266" s="281"/>
      <c r="B266" s="98"/>
      <c r="C266" s="286"/>
      <c r="D266" s="274"/>
      <c r="E266" s="95"/>
    </row>
    <row r="267" spans="1:11" ht="10.5" customHeight="1">
      <c r="A267" s="281"/>
      <c r="B267" s="135"/>
      <c r="C267" s="285"/>
      <c r="D267" s="274"/>
      <c r="E267" s="95"/>
    </row>
    <row r="268" spans="1:11" ht="10.5" customHeight="1">
      <c r="A268" s="87"/>
      <c r="B268" s="260" t="s">
        <v>450</v>
      </c>
      <c r="C268" s="285"/>
      <c r="D268" s="274"/>
      <c r="E268" s="95"/>
    </row>
    <row r="269" spans="1:11" ht="10.5" customHeight="1">
      <c r="A269" s="87"/>
      <c r="B269" s="260" t="s">
        <v>484</v>
      </c>
      <c r="C269" s="285"/>
      <c r="D269" s="290">
        <f>C272</f>
        <v>120241.64</v>
      </c>
      <c r="E269" s="95"/>
      <c r="G269" s="306"/>
    </row>
    <row r="270" spans="1:11" s="96" customFormat="1" ht="10.5" customHeight="1">
      <c r="A270" s="88"/>
      <c r="B270" s="98"/>
      <c r="C270" s="286"/>
      <c r="D270" s="274"/>
      <c r="E270" s="278"/>
      <c r="G270" s="295"/>
      <c r="H270" s="79"/>
      <c r="I270" s="79"/>
      <c r="J270" s="79"/>
      <c r="K270" s="79"/>
    </row>
    <row r="271" spans="1:11" s="96" customFormat="1" ht="10.5" customHeight="1">
      <c r="A271" s="88"/>
      <c r="B271" s="98"/>
      <c r="C271" s="286"/>
      <c r="D271" s="274"/>
      <c r="E271" s="278"/>
      <c r="G271" s="295"/>
      <c r="H271" s="79"/>
      <c r="I271" s="79"/>
      <c r="J271" s="79"/>
      <c r="K271" s="79"/>
    </row>
    <row r="272" spans="1:11" ht="10.5" customHeight="1">
      <c r="A272" s="281" t="s">
        <v>455</v>
      </c>
      <c r="B272" s="98" t="s">
        <v>456</v>
      </c>
      <c r="C272" s="284">
        <f>C273</f>
        <v>120241.64</v>
      </c>
      <c r="D272" s="274"/>
      <c r="E272" s="95"/>
    </row>
    <row r="273" spans="1:11" ht="10.5" customHeight="1">
      <c r="A273" s="283" t="s">
        <v>132</v>
      </c>
      <c r="B273" s="279" t="s">
        <v>510</v>
      </c>
      <c r="C273" s="285">
        <f>C274+C277</f>
        <v>120241.64</v>
      </c>
      <c r="D273" s="274"/>
      <c r="E273" s="95"/>
    </row>
    <row r="274" spans="1:11" ht="10.5" customHeight="1">
      <c r="A274" s="280" t="s">
        <v>135</v>
      </c>
      <c r="B274" s="134" t="s">
        <v>352</v>
      </c>
      <c r="C274" s="286">
        <f>C275</f>
        <v>112741.64</v>
      </c>
      <c r="D274" s="274"/>
      <c r="E274" s="95"/>
    </row>
    <row r="275" spans="1:11" ht="21.75" customHeight="1">
      <c r="A275" s="281" t="s">
        <v>486</v>
      </c>
      <c r="B275" s="135" t="s">
        <v>485</v>
      </c>
      <c r="C275" s="286">
        <v>112741.64</v>
      </c>
      <c r="D275" s="274"/>
      <c r="E275" s="95"/>
    </row>
    <row r="276" spans="1:11" ht="10.5" customHeight="1">
      <c r="A276" s="281"/>
      <c r="B276" s="135"/>
      <c r="C276" s="286"/>
      <c r="D276" s="274"/>
      <c r="E276" s="95"/>
    </row>
    <row r="277" spans="1:11" ht="10.5" customHeight="1">
      <c r="A277" s="314" t="s">
        <v>138</v>
      </c>
      <c r="B277" s="315" t="s">
        <v>360</v>
      </c>
      <c r="C277" s="316">
        <f>C278</f>
        <v>7500</v>
      </c>
      <c r="D277" s="282"/>
      <c r="E277" s="95"/>
    </row>
    <row r="278" spans="1:11" ht="49.5" customHeight="1">
      <c r="A278" s="281" t="s">
        <v>407</v>
      </c>
      <c r="B278" s="98" t="s">
        <v>541</v>
      </c>
      <c r="C278" s="286">
        <v>7500</v>
      </c>
      <c r="D278" s="318"/>
      <c r="E278" s="95"/>
    </row>
    <row r="279" spans="1:11">
      <c r="A279" s="319"/>
      <c r="B279" s="319"/>
      <c r="C279" s="286"/>
      <c r="D279" s="285"/>
      <c r="E279" s="95"/>
    </row>
    <row r="280" spans="1:11">
      <c r="A280" s="88"/>
      <c r="B280" s="98"/>
      <c r="C280" s="286"/>
      <c r="D280" s="274"/>
      <c r="E280" s="95"/>
    </row>
    <row r="281" spans="1:11">
      <c r="A281" s="246" t="s">
        <v>141</v>
      </c>
      <c r="B281" s="253" t="s">
        <v>439</v>
      </c>
      <c r="C281" s="286"/>
      <c r="D281" s="274"/>
      <c r="E281" s="95"/>
    </row>
    <row r="282" spans="1:11" ht="22.5">
      <c r="A282" s="94"/>
      <c r="B282" s="317" t="s">
        <v>438</v>
      </c>
      <c r="C282" s="358"/>
      <c r="D282" s="347">
        <f>+C285+C297</f>
        <v>41383.601999999999</v>
      </c>
      <c r="E282" s="95"/>
      <c r="G282" s="296"/>
    </row>
    <row r="283" spans="1:11" s="96" customFormat="1">
      <c r="A283" s="277"/>
      <c r="B283" s="125"/>
      <c r="C283" s="285"/>
      <c r="D283" s="274"/>
      <c r="E283" s="278"/>
      <c r="G283" s="295"/>
      <c r="H283" s="79"/>
      <c r="I283" s="79"/>
      <c r="J283" s="79"/>
      <c r="K283" s="79"/>
    </row>
    <row r="284" spans="1:11">
      <c r="A284" s="80">
        <v>7</v>
      </c>
      <c r="B284" s="98" t="s">
        <v>456</v>
      </c>
      <c r="C284" s="285">
        <f>C285+C297</f>
        <v>41383.601999999999</v>
      </c>
      <c r="D284" s="274"/>
      <c r="E284" s="95"/>
    </row>
    <row r="285" spans="1:11">
      <c r="A285" s="269" t="s">
        <v>120</v>
      </c>
      <c r="B285" s="276" t="s">
        <v>501</v>
      </c>
      <c r="C285" s="284">
        <f>C286+C289+C294</f>
        <v>16696.132000000001</v>
      </c>
      <c r="D285" s="274"/>
      <c r="E285" s="95"/>
    </row>
    <row r="286" spans="1:11">
      <c r="A286" s="87" t="s">
        <v>121</v>
      </c>
      <c r="B286" s="125" t="s">
        <v>52</v>
      </c>
      <c r="C286" s="285">
        <f>+C287</f>
        <v>13032</v>
      </c>
      <c r="D286" s="274"/>
      <c r="E286" s="95"/>
    </row>
    <row r="287" spans="1:11">
      <c r="A287" s="88" t="s">
        <v>122</v>
      </c>
      <c r="B287" s="98" t="s">
        <v>54</v>
      </c>
      <c r="C287" s="286">
        <f>+DISTRIBUTIVO!E39</f>
        <v>13032</v>
      </c>
      <c r="D287" s="274"/>
      <c r="E287" s="95"/>
    </row>
    <row r="288" spans="1:11">
      <c r="A288" s="87"/>
      <c r="B288" s="98"/>
      <c r="C288" s="286"/>
      <c r="D288" s="274"/>
      <c r="E288" s="95"/>
      <c r="G288" s="296"/>
    </row>
    <row r="289" spans="1:5">
      <c r="A289" s="89" t="s">
        <v>123</v>
      </c>
      <c r="B289" s="126" t="s">
        <v>56</v>
      </c>
      <c r="C289" s="285">
        <f>C290+C291+C292</f>
        <v>2185</v>
      </c>
      <c r="D289" s="274"/>
      <c r="E289" s="95"/>
    </row>
    <row r="290" spans="1:5">
      <c r="A290" s="90" t="s">
        <v>124</v>
      </c>
      <c r="B290" s="127" t="s">
        <v>58</v>
      </c>
      <c r="C290" s="286">
        <f>+DISTRIBUTIVO!F39</f>
        <v>1086</v>
      </c>
      <c r="D290" s="274"/>
      <c r="E290" s="95"/>
    </row>
    <row r="291" spans="1:5">
      <c r="A291" s="90" t="s">
        <v>125</v>
      </c>
      <c r="B291" s="127" t="s">
        <v>60</v>
      </c>
      <c r="C291" s="286">
        <f>+DISTRIBUTIVO!G39</f>
        <v>375</v>
      </c>
      <c r="D291" s="274"/>
      <c r="E291" s="95"/>
    </row>
    <row r="292" spans="1:5">
      <c r="A292" s="90" t="s">
        <v>489</v>
      </c>
      <c r="B292" s="127" t="s">
        <v>490</v>
      </c>
      <c r="C292" s="286">
        <f>+DISTRIBUTIVO!H39</f>
        <v>724</v>
      </c>
      <c r="D292" s="274"/>
      <c r="E292" s="95"/>
    </row>
    <row r="293" spans="1:5">
      <c r="A293" s="80"/>
      <c r="B293" s="80"/>
      <c r="C293" s="352"/>
      <c r="D293" s="274"/>
      <c r="E293" s="95"/>
    </row>
    <row r="294" spans="1:5">
      <c r="A294" s="87" t="s">
        <v>129</v>
      </c>
      <c r="B294" s="125" t="s">
        <v>70</v>
      </c>
      <c r="C294" s="285">
        <f>C295</f>
        <v>1479.1319999999998</v>
      </c>
      <c r="D294" s="274"/>
      <c r="E294" s="95"/>
    </row>
    <row r="295" spans="1:5">
      <c r="A295" s="92" t="s">
        <v>130</v>
      </c>
      <c r="B295" s="129" t="s">
        <v>72</v>
      </c>
      <c r="C295" s="286">
        <f>DISTRIBUTIVO!I39</f>
        <v>1479.1319999999998</v>
      </c>
      <c r="D295" s="274"/>
      <c r="E295" s="95"/>
    </row>
    <row r="296" spans="1:5">
      <c r="A296" s="92"/>
      <c r="B296" s="129"/>
      <c r="C296" s="286"/>
      <c r="D296" s="274"/>
      <c r="E296" s="95"/>
    </row>
    <row r="297" spans="1:5">
      <c r="A297" s="275">
        <v>7.3</v>
      </c>
      <c r="B297" s="270" t="s">
        <v>500</v>
      </c>
      <c r="C297" s="359">
        <f>C298+C301</f>
        <v>24687.469999999998</v>
      </c>
      <c r="D297" s="274"/>
      <c r="E297" s="95"/>
    </row>
    <row r="298" spans="1:5">
      <c r="A298" s="245" t="s">
        <v>391</v>
      </c>
      <c r="B298" s="246" t="s">
        <v>468</v>
      </c>
      <c r="C298" s="359">
        <f>C299</f>
        <v>4280.2299999999996</v>
      </c>
      <c r="D298" s="274"/>
      <c r="E298" s="95"/>
    </row>
    <row r="299" spans="1:5">
      <c r="A299" s="248" t="s">
        <v>469</v>
      </c>
      <c r="B299" s="249" t="s">
        <v>470</v>
      </c>
      <c r="C299" s="360">
        <v>4280.2299999999996</v>
      </c>
      <c r="D299" s="274"/>
      <c r="E299" s="95"/>
    </row>
    <row r="300" spans="1:5">
      <c r="A300" s="248"/>
      <c r="B300" s="249"/>
      <c r="C300" s="360"/>
      <c r="D300" s="274"/>
      <c r="E300" s="95"/>
    </row>
    <row r="301" spans="1:5">
      <c r="A301" s="87" t="s">
        <v>471</v>
      </c>
      <c r="B301" s="134" t="s">
        <v>341</v>
      </c>
      <c r="C301" s="285">
        <f>C302+C303</f>
        <v>20407.239999999998</v>
      </c>
      <c r="D301" s="274"/>
      <c r="E301" s="95"/>
    </row>
    <row r="302" spans="1:5">
      <c r="A302" s="88" t="s">
        <v>491</v>
      </c>
      <c r="B302" s="135" t="s">
        <v>472</v>
      </c>
      <c r="C302" s="286">
        <v>15615.92</v>
      </c>
      <c r="D302" s="274"/>
      <c r="E302" s="95"/>
    </row>
    <row r="303" spans="1:5">
      <c r="A303" s="88" t="s">
        <v>491</v>
      </c>
      <c r="B303" s="135" t="s">
        <v>473</v>
      </c>
      <c r="C303" s="286">
        <v>4791.32</v>
      </c>
      <c r="D303" s="274"/>
      <c r="E303" s="95"/>
    </row>
    <row r="304" spans="1:5">
      <c r="A304" s="94"/>
      <c r="B304" s="125"/>
      <c r="C304" s="285"/>
      <c r="D304" s="274"/>
      <c r="E304" s="95"/>
    </row>
    <row r="305" spans="1:11">
      <c r="A305" s="258"/>
      <c r="B305" s="259"/>
      <c r="C305" s="361"/>
      <c r="E305" s="95"/>
    </row>
    <row r="306" spans="1:11">
      <c r="A306" s="80"/>
      <c r="B306" s="80"/>
      <c r="C306" s="357"/>
      <c r="E306" s="95"/>
    </row>
    <row r="307" spans="1:11">
      <c r="A307" s="94" t="s">
        <v>374</v>
      </c>
      <c r="B307" s="263" t="s">
        <v>377</v>
      </c>
      <c r="E307" s="95"/>
    </row>
    <row r="308" spans="1:11">
      <c r="A308" s="247" t="s">
        <v>414</v>
      </c>
      <c r="B308" s="266" t="s">
        <v>449</v>
      </c>
      <c r="E308" s="95"/>
    </row>
    <row r="309" spans="1:11">
      <c r="A309" s="230"/>
      <c r="B309" s="231"/>
      <c r="C309" s="354"/>
      <c r="D309" s="274"/>
      <c r="E309" s="95"/>
    </row>
    <row r="310" spans="1:11">
      <c r="A310" s="88"/>
      <c r="B310" s="257" t="s">
        <v>448</v>
      </c>
      <c r="C310" s="285"/>
      <c r="D310" s="290">
        <f>+C314+C319</f>
        <v>8012</v>
      </c>
      <c r="E310" s="95"/>
    </row>
    <row r="311" spans="1:11" s="96" customFormat="1">
      <c r="A311" s="88"/>
      <c r="B311" s="130"/>
      <c r="C311" s="285"/>
      <c r="D311" s="274"/>
      <c r="E311" s="278"/>
      <c r="G311" s="295"/>
      <c r="H311" s="79"/>
      <c r="I311" s="79"/>
      <c r="J311" s="79"/>
      <c r="K311" s="79"/>
    </row>
    <row r="312" spans="1:11" s="96" customFormat="1">
      <c r="A312" s="97"/>
      <c r="B312" s="130"/>
      <c r="C312" s="285"/>
      <c r="D312" s="274"/>
      <c r="E312" s="278"/>
      <c r="G312" s="295"/>
      <c r="H312" s="79"/>
      <c r="I312" s="79"/>
      <c r="J312" s="79"/>
      <c r="K312" s="79"/>
    </row>
    <row r="313" spans="1:11">
      <c r="A313" s="80">
        <v>7</v>
      </c>
      <c r="B313" s="98" t="s">
        <v>456</v>
      </c>
      <c r="C313" s="286">
        <f>C314+C319</f>
        <v>8012</v>
      </c>
      <c r="D313" s="274"/>
      <c r="E313" s="95"/>
    </row>
    <row r="314" spans="1:11">
      <c r="A314" s="269" t="s">
        <v>120</v>
      </c>
      <c r="B314" s="279" t="s">
        <v>501</v>
      </c>
      <c r="C314" s="284">
        <f>SUM(C315)</f>
        <v>3000</v>
      </c>
      <c r="D314" s="274"/>
      <c r="E314" s="95"/>
    </row>
    <row r="315" spans="1:11">
      <c r="A315" s="88" t="s">
        <v>126</v>
      </c>
      <c r="B315" s="134" t="s">
        <v>353</v>
      </c>
      <c r="C315" s="285">
        <f>SUM(C316:C317)</f>
        <v>3000</v>
      </c>
      <c r="D315" s="274"/>
      <c r="E315" s="95"/>
    </row>
    <row r="316" spans="1:11">
      <c r="A316" s="88" t="s">
        <v>465</v>
      </c>
      <c r="B316" s="135" t="s">
        <v>354</v>
      </c>
      <c r="C316" s="286">
        <v>2000</v>
      </c>
      <c r="D316" s="274"/>
      <c r="E316" s="95"/>
      <c r="G316" s="306"/>
    </row>
    <row r="317" spans="1:11">
      <c r="A317" s="88" t="s">
        <v>127</v>
      </c>
      <c r="B317" s="135" t="s">
        <v>389</v>
      </c>
      <c r="C317" s="286">
        <v>1000</v>
      </c>
      <c r="D317" s="274"/>
      <c r="E317" s="95"/>
    </row>
    <row r="318" spans="1:11">
      <c r="A318" s="88"/>
      <c r="B318" s="135"/>
      <c r="C318" s="286"/>
      <c r="D318" s="274"/>
      <c r="E318" s="95"/>
    </row>
    <row r="319" spans="1:11">
      <c r="A319" s="269" t="s">
        <v>132</v>
      </c>
      <c r="B319" s="279" t="s">
        <v>503</v>
      </c>
      <c r="C319" s="284">
        <f>+C320+C328+C324</f>
        <v>5012</v>
      </c>
      <c r="D319" s="274"/>
      <c r="E319" s="95"/>
    </row>
    <row r="320" spans="1:11">
      <c r="A320" s="88" t="s">
        <v>355</v>
      </c>
      <c r="B320" s="134" t="s">
        <v>357</v>
      </c>
      <c r="C320" s="285">
        <f>+C321</f>
        <v>500</v>
      </c>
      <c r="D320" s="274"/>
      <c r="E320" s="95"/>
    </row>
    <row r="321" spans="1:9" ht="22.5">
      <c r="A321" s="88" t="s">
        <v>356</v>
      </c>
      <c r="B321" s="135" t="s">
        <v>494</v>
      </c>
      <c r="C321" s="286">
        <v>500</v>
      </c>
      <c r="D321" s="274"/>
      <c r="E321" s="95"/>
    </row>
    <row r="322" spans="1:9">
      <c r="A322" s="87"/>
      <c r="B322" s="125"/>
      <c r="C322" s="285"/>
      <c r="D322" s="274"/>
      <c r="G322" s="296"/>
    </row>
    <row r="323" spans="1:9">
      <c r="A323" s="88"/>
      <c r="B323" s="98"/>
      <c r="C323" s="286"/>
      <c r="D323" s="274"/>
      <c r="G323" s="307"/>
    </row>
    <row r="324" spans="1:9">
      <c r="A324" s="87" t="s">
        <v>135</v>
      </c>
      <c r="B324" s="125" t="s">
        <v>352</v>
      </c>
      <c r="C324" s="285">
        <f t="shared" ref="C324" si="0">C325</f>
        <v>770</v>
      </c>
      <c r="D324" s="274"/>
      <c r="G324" s="296"/>
    </row>
    <row r="325" spans="1:9">
      <c r="A325" s="88" t="s">
        <v>406</v>
      </c>
      <c r="B325" s="98" t="s">
        <v>457</v>
      </c>
      <c r="C325" s="286">
        <v>770</v>
      </c>
      <c r="D325" s="274"/>
      <c r="G325" s="307"/>
    </row>
    <row r="326" spans="1:9">
      <c r="A326" s="88"/>
      <c r="B326" s="135"/>
      <c r="C326" s="286"/>
      <c r="D326" s="274"/>
      <c r="E326" s="95"/>
    </row>
    <row r="327" spans="1:9">
      <c r="A327" s="88"/>
      <c r="B327" s="134"/>
      <c r="C327" s="286"/>
      <c r="D327" s="274"/>
      <c r="E327" s="95"/>
    </row>
    <row r="328" spans="1:9">
      <c r="A328" s="87" t="s">
        <v>138</v>
      </c>
      <c r="B328" s="125" t="s">
        <v>144</v>
      </c>
      <c r="C328" s="285">
        <f>SUM(C329:C337)</f>
        <v>3742</v>
      </c>
      <c r="D328" s="274"/>
      <c r="E328" s="95"/>
    </row>
    <row r="329" spans="1:9" ht="22.5">
      <c r="A329" s="88" t="s">
        <v>358</v>
      </c>
      <c r="B329" s="98" t="s">
        <v>475</v>
      </c>
      <c r="C329" s="286">
        <v>146</v>
      </c>
      <c r="D329" s="274"/>
      <c r="E329" s="95"/>
    </row>
    <row r="330" spans="1:9">
      <c r="A330" s="88" t="s">
        <v>359</v>
      </c>
      <c r="B330" s="98" t="s">
        <v>493</v>
      </c>
      <c r="C330" s="286">
        <v>300</v>
      </c>
      <c r="D330" s="274"/>
      <c r="E330" s="95"/>
      <c r="G330" s="307"/>
      <c r="H330" s="82"/>
    </row>
    <row r="331" spans="1:9">
      <c r="A331" s="88" t="s">
        <v>382</v>
      </c>
      <c r="B331" s="98" t="s">
        <v>404</v>
      </c>
      <c r="C331" s="286">
        <v>30</v>
      </c>
      <c r="D331" s="274"/>
      <c r="E331" s="95"/>
      <c r="G331" s="296"/>
      <c r="I331" s="320">
        <f>SUM(C331:C337)</f>
        <v>3296</v>
      </c>
    </row>
    <row r="332" spans="1:9">
      <c r="A332" s="88" t="s">
        <v>383</v>
      </c>
      <c r="B332" s="98" t="s">
        <v>378</v>
      </c>
      <c r="C332" s="286">
        <v>15</v>
      </c>
      <c r="D332" s="274"/>
      <c r="E332" s="95"/>
      <c r="G332" s="296"/>
      <c r="H332" s="82"/>
    </row>
    <row r="333" spans="1:9">
      <c r="A333" s="88" t="s">
        <v>384</v>
      </c>
      <c r="B333" s="98" t="s">
        <v>379</v>
      </c>
      <c r="C333" s="286">
        <v>240</v>
      </c>
      <c r="D333" s="274"/>
      <c r="E333" s="95"/>
      <c r="G333" s="296"/>
    </row>
    <row r="334" spans="1:9">
      <c r="A334" s="88" t="s">
        <v>385</v>
      </c>
      <c r="B334" s="98" t="s">
        <v>380</v>
      </c>
      <c r="C334" s="286">
        <v>160</v>
      </c>
      <c r="D334" s="274"/>
      <c r="E334" s="95"/>
      <c r="G334" s="296"/>
    </row>
    <row r="335" spans="1:9">
      <c r="A335" s="88" t="s">
        <v>386</v>
      </c>
      <c r="B335" s="98" t="s">
        <v>492</v>
      </c>
      <c r="C335" s="286">
        <v>150</v>
      </c>
      <c r="D335" s="274"/>
      <c r="E335" s="95"/>
      <c r="G335" s="296"/>
      <c r="H335" s="82"/>
    </row>
    <row r="336" spans="1:9">
      <c r="A336" s="88" t="s">
        <v>387</v>
      </c>
      <c r="B336" s="98" t="s">
        <v>381</v>
      </c>
      <c r="C336" s="286">
        <v>201</v>
      </c>
      <c r="D336" s="274"/>
      <c r="E336" s="95"/>
      <c r="G336" s="296"/>
    </row>
    <row r="337" spans="1:11">
      <c r="A337" s="88" t="s">
        <v>388</v>
      </c>
      <c r="B337" s="98" t="s">
        <v>410</v>
      </c>
      <c r="C337" s="286">
        <v>2500</v>
      </c>
      <c r="D337" s="274"/>
      <c r="E337" s="95"/>
      <c r="G337" s="307"/>
    </row>
    <row r="338" spans="1:11">
      <c r="A338" s="88"/>
      <c r="B338" s="98"/>
      <c r="C338" s="286"/>
      <c r="D338" s="274"/>
      <c r="E338" s="95"/>
    </row>
    <row r="339" spans="1:11">
      <c r="A339" s="88" t="s">
        <v>390</v>
      </c>
      <c r="B339" s="98" t="s">
        <v>392</v>
      </c>
      <c r="C339" s="286"/>
      <c r="D339" s="274"/>
      <c r="E339" s="95"/>
    </row>
    <row r="340" spans="1:11">
      <c r="A340" s="87" t="s">
        <v>415</v>
      </c>
      <c r="B340" s="125" t="s">
        <v>452</v>
      </c>
      <c r="C340" s="286"/>
      <c r="D340" s="274"/>
      <c r="E340" s="95"/>
    </row>
    <row r="341" spans="1:11" ht="22.5">
      <c r="A341" s="88" t="s">
        <v>393</v>
      </c>
      <c r="B341" s="260" t="s">
        <v>451</v>
      </c>
      <c r="C341" s="355"/>
      <c r="D341" s="290">
        <f>+C344</f>
        <v>500</v>
      </c>
      <c r="E341" s="95"/>
    </row>
    <row r="342" spans="1:11" s="96" customFormat="1">
      <c r="A342" s="88"/>
      <c r="B342" s="125"/>
      <c r="C342" s="286"/>
      <c r="D342" s="274"/>
      <c r="E342" s="278"/>
      <c r="G342" s="295"/>
      <c r="H342" s="79"/>
      <c r="I342" s="79"/>
      <c r="J342" s="79"/>
      <c r="K342" s="79"/>
    </row>
    <row r="343" spans="1:11" s="96" customFormat="1">
      <c r="A343" s="88" t="s">
        <v>455</v>
      </c>
      <c r="B343" s="98" t="s">
        <v>456</v>
      </c>
      <c r="C343" s="286">
        <f>C344</f>
        <v>500</v>
      </c>
      <c r="D343" s="274"/>
      <c r="E343" s="278"/>
      <c r="G343" s="295"/>
      <c r="H343" s="79"/>
      <c r="I343" s="79"/>
      <c r="J343" s="79"/>
      <c r="K343" s="79"/>
    </row>
    <row r="344" spans="1:11" s="96" customFormat="1">
      <c r="A344" s="269" t="s">
        <v>132</v>
      </c>
      <c r="B344" s="279" t="s">
        <v>395</v>
      </c>
      <c r="C344" s="284">
        <f>C345</f>
        <v>500</v>
      </c>
      <c r="D344" s="274"/>
      <c r="E344" s="82"/>
      <c r="F344" s="79"/>
      <c r="G344" s="295"/>
      <c r="H344" s="79"/>
      <c r="I344" s="79"/>
      <c r="J344" s="79"/>
      <c r="K344" s="79"/>
    </row>
    <row r="345" spans="1:11" s="96" customFormat="1">
      <c r="A345" s="87" t="s">
        <v>138</v>
      </c>
      <c r="B345" s="125" t="s">
        <v>360</v>
      </c>
      <c r="C345" s="362">
        <f>C346</f>
        <v>500</v>
      </c>
      <c r="D345" s="274"/>
      <c r="E345" s="82"/>
      <c r="F345" s="79"/>
      <c r="G345" s="295"/>
      <c r="H345" s="79"/>
      <c r="I345" s="79"/>
      <c r="J345" s="79"/>
      <c r="K345" s="79"/>
    </row>
    <row r="346" spans="1:11">
      <c r="A346" s="88" t="s">
        <v>161</v>
      </c>
      <c r="B346" s="98" t="s">
        <v>162</v>
      </c>
      <c r="C346" s="352">
        <v>500</v>
      </c>
      <c r="D346" s="274"/>
      <c r="E346" s="82"/>
      <c r="F346" s="79"/>
      <c r="G346" s="306"/>
    </row>
    <row r="347" spans="1:11">
      <c r="A347" s="88"/>
      <c r="B347" s="98"/>
      <c r="C347" s="286"/>
      <c r="D347" s="274"/>
      <c r="E347" s="82"/>
      <c r="F347" s="79"/>
    </row>
    <row r="348" spans="1:11">
      <c r="A348" s="87" t="s">
        <v>415</v>
      </c>
      <c r="B348" s="125" t="s">
        <v>452</v>
      </c>
      <c r="C348" s="286"/>
      <c r="D348" s="274"/>
      <c r="E348" s="82"/>
      <c r="F348" s="79"/>
    </row>
    <row r="349" spans="1:11">
      <c r="A349" s="88" t="s">
        <v>393</v>
      </c>
      <c r="B349" s="260" t="s">
        <v>453</v>
      </c>
      <c r="C349" s="286"/>
      <c r="D349" s="290">
        <f>C351</f>
        <v>46459.46</v>
      </c>
      <c r="E349" s="82"/>
      <c r="F349" s="79"/>
    </row>
    <row r="350" spans="1:11" s="96" customFormat="1">
      <c r="A350" s="88"/>
      <c r="B350" s="125"/>
      <c r="C350" s="286"/>
      <c r="D350" s="274"/>
      <c r="E350" s="82"/>
      <c r="F350" s="79"/>
      <c r="G350" s="295"/>
      <c r="H350" s="79"/>
      <c r="I350" s="79"/>
      <c r="J350" s="79"/>
      <c r="K350" s="79"/>
    </row>
    <row r="351" spans="1:11" s="96" customFormat="1">
      <c r="A351" s="88" t="s">
        <v>455</v>
      </c>
      <c r="B351" s="98" t="s">
        <v>456</v>
      </c>
      <c r="C351" s="286">
        <f>C352+C357</f>
        <v>46459.46</v>
      </c>
      <c r="D351" s="274"/>
      <c r="E351" s="82"/>
      <c r="F351" s="79"/>
      <c r="G351" s="295"/>
      <c r="H351" s="79"/>
      <c r="I351" s="79"/>
      <c r="J351" s="79"/>
      <c r="K351" s="79"/>
    </row>
    <row r="352" spans="1:11">
      <c r="A352" s="283" t="s">
        <v>496</v>
      </c>
      <c r="B352" s="279" t="s">
        <v>395</v>
      </c>
      <c r="C352" s="284">
        <f>SUM(C353)</f>
        <v>6259</v>
      </c>
      <c r="D352" s="274"/>
      <c r="E352" s="82"/>
      <c r="F352" s="79"/>
    </row>
    <row r="353" spans="1:11" ht="22.5">
      <c r="A353" s="280" t="s">
        <v>126</v>
      </c>
      <c r="B353" s="134" t="s">
        <v>396</v>
      </c>
      <c r="C353" s="285">
        <f>SUM(C354)</f>
        <v>6259</v>
      </c>
      <c r="D353" s="274"/>
      <c r="E353" s="82"/>
      <c r="F353" s="79"/>
    </row>
    <row r="354" spans="1:11">
      <c r="A354" s="281" t="s">
        <v>127</v>
      </c>
      <c r="B354" s="135" t="s">
        <v>495</v>
      </c>
      <c r="C354" s="286">
        <v>6259</v>
      </c>
      <c r="D354" s="274"/>
      <c r="G354" s="306"/>
      <c r="H354" s="302"/>
      <c r="I354" s="302"/>
      <c r="J354" s="79"/>
      <c r="K354" s="83"/>
    </row>
    <row r="355" spans="1:11">
      <c r="A355" s="267"/>
      <c r="B355" s="268"/>
      <c r="C355" s="363"/>
      <c r="D355" s="274"/>
      <c r="H355" s="301"/>
      <c r="I355" s="303"/>
      <c r="J355" s="79"/>
      <c r="K355" s="83"/>
    </row>
    <row r="356" spans="1:11" ht="12.75" customHeight="1">
      <c r="A356" s="288"/>
      <c r="B356" s="80"/>
      <c r="C356" s="357"/>
      <c r="D356" s="291"/>
      <c r="H356" s="97"/>
      <c r="I356" s="123"/>
      <c r="J356" s="82"/>
      <c r="K356" s="83"/>
    </row>
    <row r="357" spans="1:11" ht="12.75" customHeight="1">
      <c r="A357" s="293" t="s">
        <v>376</v>
      </c>
      <c r="B357" s="292" t="s">
        <v>498</v>
      </c>
      <c r="C357" s="364">
        <f>C358</f>
        <v>40200.46</v>
      </c>
      <c r="D357" s="274"/>
      <c r="H357" s="97"/>
      <c r="I357" s="123"/>
      <c r="J357" s="82"/>
      <c r="K357" s="83"/>
    </row>
    <row r="358" spans="1:11" ht="12.75" customHeight="1">
      <c r="A358" s="293" t="s">
        <v>478</v>
      </c>
      <c r="B358" s="298" t="s">
        <v>477</v>
      </c>
      <c r="C358" s="365">
        <f>C359</f>
        <v>40200.46</v>
      </c>
      <c r="D358" s="274"/>
      <c r="H358" s="97"/>
      <c r="I358" s="123"/>
      <c r="J358" s="82"/>
      <c r="K358" s="83"/>
    </row>
    <row r="359" spans="1:11" ht="12.75" customHeight="1">
      <c r="A359" s="288" t="s">
        <v>479</v>
      </c>
      <c r="B359" s="80" t="s">
        <v>507</v>
      </c>
      <c r="C359" s="357">
        <v>40200.46</v>
      </c>
      <c r="D359" s="291"/>
      <c r="H359" s="97"/>
      <c r="I359" s="123"/>
      <c r="J359" s="82"/>
      <c r="K359" s="83"/>
    </row>
    <row r="360" spans="1:11" ht="12.75" customHeight="1">
      <c r="A360" s="288"/>
      <c r="B360" s="80"/>
      <c r="C360" s="357"/>
      <c r="D360" s="291"/>
      <c r="H360" s="97"/>
      <c r="I360" s="123"/>
      <c r="J360" s="82"/>
      <c r="K360" s="83"/>
    </row>
    <row r="361" spans="1:11" ht="12.75" customHeight="1">
      <c r="A361" s="311"/>
      <c r="B361" s="96"/>
      <c r="C361" s="357"/>
      <c r="D361" s="291"/>
      <c r="F361" s="96"/>
      <c r="H361" s="97"/>
      <c r="I361" s="123"/>
      <c r="J361" s="82"/>
      <c r="K361" s="83"/>
    </row>
    <row r="362" spans="1:11" ht="12.75" customHeight="1">
      <c r="A362" s="311"/>
      <c r="B362" s="96"/>
      <c r="C362" s="357"/>
      <c r="D362" s="291"/>
      <c r="F362" s="96"/>
      <c r="H362" s="97"/>
      <c r="I362" s="123"/>
      <c r="J362" s="82"/>
      <c r="K362" s="83"/>
    </row>
    <row r="363" spans="1:11" ht="12.75" customHeight="1">
      <c r="A363" s="311"/>
      <c r="B363" s="96"/>
      <c r="C363" s="357"/>
      <c r="D363" s="291"/>
      <c r="F363" s="96"/>
      <c r="H363" s="97"/>
      <c r="I363" s="123"/>
      <c r="J363" s="82"/>
      <c r="K363" s="83"/>
    </row>
    <row r="364" spans="1:11" ht="12.75" customHeight="1">
      <c r="A364" s="311"/>
      <c r="B364" s="96"/>
      <c r="C364" s="357"/>
      <c r="D364" s="291"/>
      <c r="F364" s="96"/>
      <c r="H364" s="97"/>
      <c r="I364" s="123"/>
      <c r="J364" s="82"/>
      <c r="K364" s="83"/>
    </row>
    <row r="365" spans="1:11" ht="12.75" customHeight="1">
      <c r="A365" s="311"/>
      <c r="B365" s="96"/>
      <c r="C365" s="357"/>
      <c r="D365" s="291"/>
      <c r="F365" s="96"/>
      <c r="H365" s="97"/>
      <c r="I365" s="123"/>
      <c r="J365" s="82"/>
      <c r="K365" s="83"/>
    </row>
    <row r="366" spans="1:11" ht="12.75" customHeight="1">
      <c r="A366" s="87"/>
      <c r="B366" s="260" t="s">
        <v>525</v>
      </c>
      <c r="C366" s="286"/>
      <c r="D366" s="290">
        <f>C367</f>
        <v>25760</v>
      </c>
      <c r="H366" s="97"/>
      <c r="I366" s="123"/>
      <c r="J366" s="82"/>
      <c r="K366" s="83"/>
    </row>
    <row r="367" spans="1:11" ht="12.75" customHeight="1">
      <c r="A367" s="269" t="s">
        <v>132</v>
      </c>
      <c r="B367" s="308" t="s">
        <v>526</v>
      </c>
      <c r="C367" s="284">
        <f>C368</f>
        <v>25760</v>
      </c>
      <c r="D367" s="282"/>
      <c r="H367" s="97"/>
      <c r="I367" s="123"/>
      <c r="J367" s="82"/>
      <c r="K367" s="83"/>
    </row>
    <row r="368" spans="1:11" ht="21.75" customHeight="1">
      <c r="A368" s="87" t="s">
        <v>136</v>
      </c>
      <c r="B368" s="309" t="s">
        <v>396</v>
      </c>
      <c r="C368" s="285">
        <f>C369+C244</f>
        <v>25760</v>
      </c>
      <c r="D368" s="274"/>
      <c r="H368" s="97"/>
      <c r="I368" s="123"/>
      <c r="J368" s="82"/>
      <c r="K368" s="83"/>
    </row>
    <row r="369" spans="1:11" ht="21" customHeight="1">
      <c r="A369" s="88" t="s">
        <v>394</v>
      </c>
      <c r="B369" s="310" t="s">
        <v>527</v>
      </c>
      <c r="C369" s="286">
        <v>25760</v>
      </c>
      <c r="D369" s="274"/>
      <c r="H369" s="97"/>
      <c r="I369" s="123"/>
      <c r="J369" s="82"/>
      <c r="K369" s="83"/>
    </row>
    <row r="370" spans="1:11" ht="12.75" customHeight="1">
      <c r="A370" s="288"/>
      <c r="B370" s="80"/>
      <c r="C370" s="357"/>
      <c r="D370" s="291"/>
      <c r="H370" s="97"/>
      <c r="I370" s="123"/>
      <c r="J370" s="82"/>
      <c r="K370" s="83"/>
    </row>
    <row r="371" spans="1:11" ht="12.75" customHeight="1">
      <c r="A371" s="288"/>
      <c r="B371" s="80"/>
      <c r="C371" s="357"/>
      <c r="D371" s="291"/>
      <c r="H371" s="97"/>
      <c r="I371" s="123"/>
      <c r="J371" s="82"/>
      <c r="K371" s="83"/>
    </row>
    <row r="372" spans="1:11" ht="12.75" customHeight="1">
      <c r="A372" s="277" t="s">
        <v>141</v>
      </c>
      <c r="B372" s="277" t="s">
        <v>517</v>
      </c>
      <c r="C372" s="357"/>
      <c r="H372" s="97"/>
      <c r="I372" s="123"/>
      <c r="J372" s="82"/>
      <c r="K372" s="83"/>
    </row>
    <row r="373" spans="1:11" ht="12.75" customHeight="1">
      <c r="A373" s="299"/>
      <c r="B373" s="260" t="s">
        <v>518</v>
      </c>
      <c r="C373" s="286"/>
      <c r="D373" s="290">
        <f>+C375+C378</f>
        <v>30000</v>
      </c>
      <c r="H373" s="97"/>
      <c r="I373" s="123"/>
      <c r="J373" s="82"/>
      <c r="K373" s="83"/>
    </row>
    <row r="374" spans="1:11" ht="12.75" customHeight="1">
      <c r="A374" s="370" t="s">
        <v>120</v>
      </c>
      <c r="B374" s="276" t="s">
        <v>501</v>
      </c>
      <c r="C374" s="284">
        <f>C375</f>
        <v>5400</v>
      </c>
      <c r="D374" s="274"/>
      <c r="H374" s="97"/>
      <c r="I374" s="123"/>
      <c r="J374" s="82"/>
      <c r="K374" s="83"/>
    </row>
    <row r="375" spans="1:11" ht="12.75" customHeight="1">
      <c r="A375" s="87" t="s">
        <v>126</v>
      </c>
      <c r="B375" s="125" t="s">
        <v>353</v>
      </c>
      <c r="C375" s="285">
        <f>C376</f>
        <v>5400</v>
      </c>
      <c r="D375" s="274"/>
      <c r="H375" s="97"/>
      <c r="I375" s="123"/>
      <c r="J375" s="82"/>
      <c r="K375" s="83"/>
    </row>
    <row r="376" spans="1:11">
      <c r="A376" s="88" t="s">
        <v>519</v>
      </c>
      <c r="B376" s="98" t="s">
        <v>354</v>
      </c>
      <c r="C376" s="286">
        <f>+(8*15)*45</f>
        <v>5400</v>
      </c>
      <c r="D376" s="274"/>
      <c r="H376" s="97"/>
      <c r="I376" s="123"/>
      <c r="J376" s="82"/>
      <c r="K376" s="83"/>
    </row>
    <row r="377" spans="1:11">
      <c r="A377" s="88"/>
      <c r="B377" s="98"/>
      <c r="C377" s="286"/>
      <c r="D377" s="274"/>
      <c r="H377" s="97"/>
      <c r="I377" s="123"/>
      <c r="J377" s="82"/>
      <c r="K377" s="83"/>
    </row>
    <row r="378" spans="1:11">
      <c r="A378" s="269" t="s">
        <v>132</v>
      </c>
      <c r="B378" s="279" t="s">
        <v>503</v>
      </c>
      <c r="C378" s="284">
        <f>C379+C381</f>
        <v>24600</v>
      </c>
      <c r="D378" s="274"/>
      <c r="H378" s="97"/>
      <c r="I378" s="123"/>
      <c r="J378" s="82"/>
      <c r="K378" s="83"/>
    </row>
    <row r="379" spans="1:11">
      <c r="A379" s="87" t="s">
        <v>135</v>
      </c>
      <c r="B379" s="125" t="s">
        <v>352</v>
      </c>
      <c r="C379" s="285">
        <f>SUM(C380)</f>
        <v>6000</v>
      </c>
      <c r="D379" s="274"/>
      <c r="H379" s="242"/>
      <c r="I379" s="304"/>
      <c r="J379" s="83"/>
      <c r="K379" s="83"/>
    </row>
    <row r="380" spans="1:11">
      <c r="A380" s="88" t="s">
        <v>520</v>
      </c>
      <c r="B380" s="300" t="s">
        <v>521</v>
      </c>
      <c r="C380" s="286">
        <v>6000</v>
      </c>
      <c r="D380" s="274"/>
      <c r="H380" s="242"/>
      <c r="I380" s="162"/>
      <c r="J380" s="83"/>
      <c r="K380" s="83"/>
    </row>
    <row r="381" spans="1:11">
      <c r="A381" s="87" t="s">
        <v>138</v>
      </c>
      <c r="B381" s="134" t="s">
        <v>360</v>
      </c>
      <c r="C381" s="285">
        <f>SUM(C382)</f>
        <v>18600</v>
      </c>
      <c r="D381" s="274"/>
      <c r="H381" s="97"/>
      <c r="I381" s="305"/>
      <c r="J381" s="82"/>
      <c r="K381" s="83"/>
    </row>
    <row r="382" spans="1:11" ht="22.5">
      <c r="A382" s="88" t="s">
        <v>522</v>
      </c>
      <c r="B382" s="129" t="s">
        <v>523</v>
      </c>
      <c r="C382" s="286">
        <v>18600</v>
      </c>
      <c r="D382" s="274"/>
      <c r="H382" s="242"/>
      <c r="I382" s="304"/>
      <c r="J382" s="83"/>
      <c r="K382" s="83"/>
    </row>
    <row r="383" spans="1:11">
      <c r="A383" s="88"/>
      <c r="B383" s="129"/>
      <c r="C383" s="286"/>
      <c r="D383" s="274"/>
      <c r="G383" s="79"/>
      <c r="H383" s="242"/>
      <c r="I383" s="304"/>
      <c r="J383" s="83"/>
      <c r="K383" s="83"/>
    </row>
    <row r="384" spans="1:11" ht="22.5">
      <c r="A384" s="88"/>
      <c r="B384" s="257" t="s">
        <v>571</v>
      </c>
      <c r="C384" s="286"/>
      <c r="D384" s="274"/>
      <c r="G384" s="79"/>
      <c r="H384" s="242"/>
      <c r="I384" s="304"/>
      <c r="J384" s="83"/>
      <c r="K384" s="83"/>
    </row>
    <row r="385" spans="1:11">
      <c r="A385" s="88"/>
      <c r="B385" s="129"/>
      <c r="C385" s="286"/>
      <c r="D385" s="290">
        <f>C386</f>
        <v>741</v>
      </c>
      <c r="G385" s="79"/>
      <c r="H385" s="242"/>
      <c r="I385" s="304"/>
      <c r="J385" s="83"/>
      <c r="K385" s="83"/>
    </row>
    <row r="386" spans="1:11">
      <c r="A386" s="269" t="s">
        <v>132</v>
      </c>
      <c r="B386" s="279" t="s">
        <v>503</v>
      </c>
      <c r="C386" s="284">
        <f>C387</f>
        <v>741</v>
      </c>
      <c r="D386" s="274"/>
      <c r="G386" s="79"/>
      <c r="H386" s="242"/>
      <c r="I386" s="304"/>
      <c r="J386" s="83"/>
      <c r="K386" s="83"/>
    </row>
    <row r="387" spans="1:11" ht="22.5">
      <c r="A387" s="88" t="s">
        <v>136</v>
      </c>
      <c r="B387" s="130" t="s">
        <v>502</v>
      </c>
      <c r="C387" s="286">
        <f>C388</f>
        <v>741</v>
      </c>
      <c r="D387" s="274"/>
      <c r="G387" s="79"/>
      <c r="H387" s="242"/>
      <c r="I387" s="304"/>
      <c r="J387" s="83"/>
      <c r="K387" s="83"/>
    </row>
    <row r="388" spans="1:11">
      <c r="A388" s="88" t="s">
        <v>572</v>
      </c>
      <c r="B388" s="129" t="s">
        <v>573</v>
      </c>
      <c r="C388" s="286">
        <v>741</v>
      </c>
      <c r="D388" s="274"/>
      <c r="G388" s="79"/>
      <c r="H388" s="242"/>
      <c r="I388" s="304"/>
      <c r="J388" s="83"/>
      <c r="K388" s="83"/>
    </row>
    <row r="389" spans="1:11">
      <c r="A389" s="88"/>
      <c r="B389" s="129"/>
      <c r="C389" s="286"/>
      <c r="D389" s="274"/>
      <c r="G389" s="79"/>
      <c r="H389" s="242"/>
      <c r="I389" s="304"/>
      <c r="J389" s="83"/>
      <c r="K389" s="83"/>
    </row>
    <row r="390" spans="1:11">
      <c r="A390" s="88"/>
      <c r="B390" s="260" t="s">
        <v>555</v>
      </c>
      <c r="C390" s="286"/>
      <c r="D390" s="290">
        <f>C391</f>
        <v>14010.45</v>
      </c>
      <c r="G390" s="340"/>
      <c r="H390" s="80"/>
      <c r="I390" s="80"/>
      <c r="J390" s="80"/>
      <c r="K390" s="80"/>
    </row>
    <row r="391" spans="1:11">
      <c r="A391" s="269" t="s">
        <v>556</v>
      </c>
      <c r="B391" s="270" t="s">
        <v>557</v>
      </c>
      <c r="C391" s="284">
        <f>C392</f>
        <v>14010.45</v>
      </c>
      <c r="D391" s="274"/>
      <c r="G391" s="340"/>
      <c r="H391" s="80"/>
      <c r="I391" s="80"/>
      <c r="J391" s="80"/>
      <c r="K391" s="80"/>
    </row>
    <row r="392" spans="1:11">
      <c r="A392" s="87" t="s">
        <v>558</v>
      </c>
      <c r="B392" s="125" t="s">
        <v>559</v>
      </c>
      <c r="C392" s="285">
        <f>C393</f>
        <v>14010.45</v>
      </c>
      <c r="D392" s="274"/>
      <c r="G392" s="340"/>
      <c r="H392" s="80"/>
      <c r="I392" s="80"/>
      <c r="J392" s="80"/>
      <c r="K392" s="80"/>
    </row>
    <row r="393" spans="1:11">
      <c r="A393" s="341" t="s">
        <v>560</v>
      </c>
      <c r="B393" s="312" t="s">
        <v>561</v>
      </c>
      <c r="C393" s="286">
        <v>14010.45</v>
      </c>
      <c r="D393" s="274"/>
      <c r="G393" s="340"/>
      <c r="H393" s="80"/>
      <c r="I393" s="80"/>
      <c r="J393" s="80"/>
      <c r="K393" s="80"/>
    </row>
    <row r="394" spans="1:11">
      <c r="A394" s="288"/>
      <c r="B394" s="80"/>
      <c r="C394" s="357"/>
      <c r="D394" s="291"/>
      <c r="H394" s="97"/>
      <c r="I394" s="131"/>
      <c r="J394" s="82"/>
      <c r="K394" s="83"/>
    </row>
    <row r="395" spans="1:11">
      <c r="A395" s="80"/>
      <c r="B395" s="80"/>
      <c r="C395" s="357"/>
    </row>
    <row r="396" spans="1:11">
      <c r="B396" s="162" t="s">
        <v>251</v>
      </c>
      <c r="D396" s="342">
        <f>D390+D373+D366+D349+D341+D310+D282+D269+D260+D243+D228+D211+D194+D157+D146+D92+D7+D385</f>
        <v>393600.82178</v>
      </c>
    </row>
    <row r="397" spans="1:11" ht="12">
      <c r="D397" s="348"/>
    </row>
    <row r="398" spans="1:11" ht="12">
      <c r="D398" s="348"/>
    </row>
    <row r="401" spans="2:3">
      <c r="B401" s="123" t="s">
        <v>366</v>
      </c>
      <c r="C401" s="349" t="s">
        <v>408</v>
      </c>
    </row>
    <row r="402" spans="2:3">
      <c r="B402" s="123" t="s">
        <v>252</v>
      </c>
      <c r="C402" s="349" t="s">
        <v>409</v>
      </c>
    </row>
  </sheetData>
  <mergeCells count="1">
    <mergeCell ref="A1:D1"/>
  </mergeCells>
  <pageMargins left="0.70866141732283472" right="0.70866141732283472" top="1.3125" bottom="0.86614173228346458" header="0.31496062992125984" footer="0.31496062992125984"/>
  <pageSetup paperSize="9" fitToHeight="2" orientation="portrait" r:id="rId1"/>
  <headerFooter>
    <oddHeader>&amp;C&amp;"Harrington,Negrita"&amp;15
PRESUPUESTO AÑO 2015
GASTOS</oddHeader>
  </headerFooter>
  <rowBreaks count="1" manualBreakCount="1">
    <brk id="8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A32" workbookViewId="0">
      <selection activeCell="A49" sqref="A49"/>
    </sheetView>
  </sheetViews>
  <sheetFormatPr baseColWidth="10" defaultRowHeight="14.25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>
      <c r="B1" s="78" t="s">
        <v>516</v>
      </c>
      <c r="C1" s="78"/>
    </row>
    <row r="2" spans="2:19" ht="20.25" hidden="1">
      <c r="B2" s="78"/>
      <c r="C2" s="78"/>
    </row>
    <row r="3" spans="2:19" ht="20.25" hidden="1">
      <c r="B3" s="78"/>
      <c r="C3" s="78"/>
      <c r="D3" s="136"/>
    </row>
    <row r="4" spans="2:19" ht="20.25" hidden="1">
      <c r="B4" s="78"/>
      <c r="C4" s="78"/>
      <c r="F4" s="136"/>
    </row>
    <row r="5" spans="2:19" ht="20.25">
      <c r="B5" s="78"/>
      <c r="C5" s="78"/>
    </row>
    <row r="6" spans="2:19" ht="15" thickBot="1"/>
    <row r="7" spans="2:19" ht="76.5" customHeight="1">
      <c r="B7" s="53"/>
      <c r="C7" s="52"/>
      <c r="D7" s="50" t="s">
        <v>34</v>
      </c>
      <c r="E7" s="50" t="s">
        <v>33</v>
      </c>
      <c r="F7" s="50" t="s">
        <v>32</v>
      </c>
      <c r="G7" s="50" t="s">
        <v>31</v>
      </c>
      <c r="H7" s="50" t="s">
        <v>30</v>
      </c>
      <c r="I7" s="50" t="s">
        <v>29</v>
      </c>
      <c r="J7" s="51" t="s">
        <v>28</v>
      </c>
      <c r="K7" s="46"/>
      <c r="L7" s="50" t="s">
        <v>339</v>
      </c>
      <c r="M7" s="50" t="s">
        <v>26</v>
      </c>
      <c r="N7" s="50" t="s">
        <v>25</v>
      </c>
      <c r="O7" s="50" t="s">
        <v>24</v>
      </c>
      <c r="P7" s="50" t="s">
        <v>23</v>
      </c>
      <c r="Q7" s="50" t="s">
        <v>44</v>
      </c>
      <c r="R7" s="50" t="s">
        <v>43</v>
      </c>
      <c r="S7" s="46"/>
    </row>
    <row r="8" spans="2:19" s="19" customFormat="1" ht="15" thickBot="1">
      <c r="B8" s="49" t="s">
        <v>42</v>
      </c>
      <c r="C8" s="48"/>
      <c r="D8" s="152">
        <v>0.34065000000000001</v>
      </c>
      <c r="E8" s="45"/>
      <c r="F8" s="45"/>
      <c r="G8" s="45"/>
      <c r="H8" s="45"/>
      <c r="I8" s="150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>
      <c r="B9" s="44" t="s">
        <v>41</v>
      </c>
      <c r="C9" s="43" t="s">
        <v>40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>
      <c r="B10" s="39" t="s">
        <v>21</v>
      </c>
      <c r="C10" s="38" t="s">
        <v>20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>
      <c r="B11" s="61"/>
      <c r="C11" s="62" t="s">
        <v>204</v>
      </c>
      <c r="D11" s="22">
        <v>1042.8499999999999</v>
      </c>
      <c r="E11" s="22">
        <f t="shared" ref="E11:E16" si="0">+D11*12</f>
        <v>12514.199999999999</v>
      </c>
      <c r="F11" s="22">
        <f t="shared" ref="F11:F17" si="1">+D11</f>
        <v>1042.8499999999999</v>
      </c>
      <c r="G11" s="22">
        <f>+$D$12</f>
        <v>364.99</v>
      </c>
      <c r="H11" s="22">
        <f>+D11</f>
        <v>1042.8499999999999</v>
      </c>
      <c r="I11" s="22">
        <f>+(D11*$I$8)*12</f>
        <v>1395.3332999999998</v>
      </c>
      <c r="J11" s="59">
        <f>SUM(E11:I11)</f>
        <v>16360.2233</v>
      </c>
      <c r="K11" s="58"/>
      <c r="L11" s="22"/>
      <c r="M11" s="22">
        <v>200</v>
      </c>
      <c r="N11" s="22"/>
      <c r="O11" s="22"/>
      <c r="P11" s="22">
        <v>4000</v>
      </c>
      <c r="Q11" s="22"/>
      <c r="R11" s="22"/>
      <c r="S11" s="58"/>
    </row>
    <row r="12" spans="2:19">
      <c r="B12" s="61"/>
      <c r="C12" s="61" t="s">
        <v>205</v>
      </c>
      <c r="D12" s="22">
        <v>364.99</v>
      </c>
      <c r="E12" s="22">
        <f t="shared" si="0"/>
        <v>4379.88</v>
      </c>
      <c r="F12" s="22">
        <v>366.04</v>
      </c>
      <c r="G12" s="22">
        <f>+G11</f>
        <v>364.99</v>
      </c>
      <c r="H12" s="22">
        <f t="shared" ref="H12:H16" si="2">+D12</f>
        <v>364.99</v>
      </c>
      <c r="I12" s="22">
        <f t="shared" ref="I12:I17" si="3">+(D12*$I$8)*12</f>
        <v>488.35662000000002</v>
      </c>
      <c r="J12" s="59">
        <f t="shared" ref="J12:J17" si="4">SUM(E12:I12)</f>
        <v>5964.2566200000001</v>
      </c>
      <c r="K12" s="58"/>
      <c r="L12" s="22"/>
      <c r="M12" s="22">
        <v>200</v>
      </c>
      <c r="N12" s="22"/>
      <c r="O12" s="22"/>
      <c r="P12" s="22">
        <f t="shared" ref="P12:P17" si="5">50*12</f>
        <v>600</v>
      </c>
      <c r="Q12" s="22"/>
      <c r="R12" s="22"/>
      <c r="S12" s="58"/>
    </row>
    <row r="13" spans="2:19">
      <c r="B13" s="61"/>
      <c r="C13" s="61" t="s">
        <v>206</v>
      </c>
      <c r="D13" s="22">
        <f>+D12</f>
        <v>364.99</v>
      </c>
      <c r="E13" s="22">
        <f t="shared" si="0"/>
        <v>4379.88</v>
      </c>
      <c r="F13" s="22">
        <v>366.04</v>
      </c>
      <c r="G13" s="22">
        <f>+G12</f>
        <v>364.99</v>
      </c>
      <c r="H13" s="22">
        <f t="shared" si="2"/>
        <v>364.99</v>
      </c>
      <c r="I13" s="22">
        <f t="shared" si="3"/>
        <v>488.35662000000002</v>
      </c>
      <c r="J13" s="59">
        <f t="shared" si="4"/>
        <v>5964.2566200000001</v>
      </c>
      <c r="K13" s="58"/>
      <c r="L13" s="22"/>
      <c r="M13" s="22">
        <v>200</v>
      </c>
      <c r="N13" s="22"/>
      <c r="O13" s="22"/>
      <c r="P13" s="22">
        <f t="shared" si="5"/>
        <v>600</v>
      </c>
      <c r="Q13" s="22"/>
      <c r="R13" s="22"/>
      <c r="S13" s="58"/>
    </row>
    <row r="14" spans="2:19">
      <c r="B14" s="61"/>
      <c r="C14" s="61" t="s">
        <v>207</v>
      </c>
      <c r="D14" s="22">
        <f>+D13</f>
        <v>364.99</v>
      </c>
      <c r="E14" s="22">
        <f t="shared" si="0"/>
        <v>4379.88</v>
      </c>
      <c r="F14" s="22">
        <v>366.04</v>
      </c>
      <c r="G14" s="22">
        <f>+G13</f>
        <v>364.99</v>
      </c>
      <c r="H14" s="22">
        <f t="shared" si="2"/>
        <v>364.99</v>
      </c>
      <c r="I14" s="22">
        <f t="shared" si="3"/>
        <v>488.35662000000002</v>
      </c>
      <c r="J14" s="59">
        <f t="shared" si="4"/>
        <v>5964.2566200000001</v>
      </c>
      <c r="K14" s="58"/>
      <c r="L14" s="22"/>
      <c r="M14" s="22">
        <v>200</v>
      </c>
      <c r="N14" s="22"/>
      <c r="O14" s="22"/>
      <c r="P14" s="22">
        <f t="shared" si="5"/>
        <v>600</v>
      </c>
      <c r="Q14" s="22"/>
      <c r="R14" s="22"/>
      <c r="S14" s="58"/>
    </row>
    <row r="15" spans="2:19">
      <c r="B15" s="61"/>
      <c r="C15" s="61" t="s">
        <v>208</v>
      </c>
      <c r="D15" s="22">
        <f>+D14</f>
        <v>364.99</v>
      </c>
      <c r="E15" s="22">
        <f t="shared" si="0"/>
        <v>4379.88</v>
      </c>
      <c r="F15" s="22">
        <v>366.04</v>
      </c>
      <c r="G15" s="22">
        <f>+G14</f>
        <v>364.99</v>
      </c>
      <c r="H15" s="22">
        <f t="shared" si="2"/>
        <v>364.99</v>
      </c>
      <c r="I15" s="22">
        <f t="shared" si="3"/>
        <v>488.35662000000002</v>
      </c>
      <c r="J15" s="59">
        <f t="shared" si="4"/>
        <v>5964.2566200000001</v>
      </c>
      <c r="K15" s="58"/>
      <c r="L15" s="22"/>
      <c r="M15" s="22">
        <v>200</v>
      </c>
      <c r="N15" s="22"/>
      <c r="O15" s="22"/>
      <c r="P15" s="22">
        <f t="shared" si="5"/>
        <v>600</v>
      </c>
      <c r="Q15" s="22"/>
      <c r="R15" s="22"/>
      <c r="S15" s="58"/>
    </row>
    <row r="16" spans="2:19">
      <c r="B16" s="61"/>
      <c r="C16" s="61" t="s">
        <v>209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364.99</v>
      </c>
      <c r="H16" s="22">
        <f t="shared" si="2"/>
        <v>555</v>
      </c>
      <c r="I16" s="22">
        <f t="shared" si="3"/>
        <v>742.59</v>
      </c>
      <c r="J16" s="59">
        <f t="shared" si="4"/>
        <v>8877.58</v>
      </c>
      <c r="K16" s="58"/>
      <c r="L16" s="22"/>
      <c r="M16" s="22">
        <v>200</v>
      </c>
      <c r="N16" s="22"/>
      <c r="O16" s="22"/>
      <c r="P16" s="22">
        <f t="shared" si="5"/>
        <v>600</v>
      </c>
      <c r="Q16" s="22"/>
      <c r="R16" s="22"/>
      <c r="S16" s="58"/>
    </row>
    <row r="17" spans="2:19" ht="15" thickBot="1">
      <c r="B17" s="61"/>
      <c r="C17" s="61" t="s">
        <v>210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3"/>
        <v>0</v>
      </c>
      <c r="J17" s="59">
        <f t="shared" si="4"/>
        <v>0</v>
      </c>
      <c r="K17" s="58"/>
      <c r="L17" s="22"/>
      <c r="M17" s="22">
        <v>200</v>
      </c>
      <c r="N17" s="22"/>
      <c r="O17" s="22"/>
      <c r="P17" s="22">
        <f t="shared" si="5"/>
        <v>600</v>
      </c>
      <c r="Q17" s="22"/>
      <c r="R17" s="22"/>
      <c r="S17" s="58"/>
    </row>
    <row r="18" spans="2:19" ht="15" thickBot="1">
      <c r="B18" s="34"/>
      <c r="C18" s="33" t="s">
        <v>35</v>
      </c>
      <c r="D18" s="57">
        <f>SUM(D11:D17)</f>
        <v>3057.8099999999995</v>
      </c>
      <c r="E18" s="57">
        <f>SUM(E11:E16)</f>
        <v>36693.72</v>
      </c>
      <c r="F18" s="57">
        <f>SUM(F11:F17)</f>
        <v>3062.0099999999998</v>
      </c>
      <c r="G18" s="57">
        <f>SUM(G11:G17)</f>
        <v>2189.94</v>
      </c>
      <c r="H18" s="57">
        <f>SUM(H11:H16)</f>
        <v>3057.8099999999995</v>
      </c>
      <c r="I18" s="57">
        <f>SUM(I11:I17)</f>
        <v>4091.34978</v>
      </c>
      <c r="J18" s="57">
        <f>SUM(J11:J17)</f>
        <v>49094.82978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0</v>
      </c>
      <c r="P18" s="57">
        <f>SUM(P11:P17)</f>
        <v>7600</v>
      </c>
      <c r="Q18" s="57"/>
      <c r="R18" s="57"/>
      <c r="S18" s="55"/>
    </row>
    <row r="19" spans="2:19" ht="15" thickBot="1">
      <c r="B19" s="44" t="s">
        <v>340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>
      <c r="B20" s="39" t="s">
        <v>21</v>
      </c>
      <c r="C20" s="38" t="s">
        <v>20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>
      <c r="B21" s="61"/>
      <c r="C21" s="62" t="s">
        <v>341</v>
      </c>
      <c r="D21" s="22">
        <v>380</v>
      </c>
      <c r="E21" s="22">
        <f>+D21*12</f>
        <v>4560</v>
      </c>
      <c r="F21" s="22">
        <f>+D21</f>
        <v>380</v>
      </c>
      <c r="G21" s="22">
        <f>+D21</f>
        <v>380</v>
      </c>
      <c r="H21" s="22"/>
      <c r="I21" s="22">
        <f>+(D21*$I$8)*12</f>
        <v>508.43999999999994</v>
      </c>
      <c r="J21" s="59">
        <f>SUM(E21:I21)</f>
        <v>5828.44</v>
      </c>
      <c r="K21" s="58"/>
      <c r="L21" s="22">
        <f>+H21</f>
        <v>0</v>
      </c>
      <c r="M21" s="22"/>
      <c r="N21" s="22"/>
      <c r="O21" s="22"/>
      <c r="P21" s="22"/>
      <c r="Q21" s="22"/>
      <c r="R21" s="22"/>
      <c r="S21" s="58"/>
    </row>
    <row r="22" spans="2:19">
      <c r="B22" s="61"/>
      <c r="C22" s="62"/>
      <c r="D22" s="22"/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>
      <c r="B28" s="34"/>
      <c r="C28" s="33" t="s">
        <v>35</v>
      </c>
      <c r="D28" s="57">
        <f t="shared" ref="D28:J28" si="6">SUM(D21:D27)</f>
        <v>380</v>
      </c>
      <c r="E28" s="57">
        <f t="shared" si="6"/>
        <v>4560</v>
      </c>
      <c r="F28" s="57">
        <f t="shared" si="6"/>
        <v>380</v>
      </c>
      <c r="G28" s="57">
        <f t="shared" si="6"/>
        <v>380</v>
      </c>
      <c r="H28" s="57">
        <f t="shared" si="6"/>
        <v>0</v>
      </c>
      <c r="I28" s="57">
        <f t="shared" si="6"/>
        <v>508.43999999999994</v>
      </c>
      <c r="J28" s="32">
        <f t="shared" si="6"/>
        <v>5828.44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>
      <c r="B29" s="44" t="s">
        <v>39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>
      <c r="B30" s="39" t="s">
        <v>21</v>
      </c>
      <c r="C30" s="38" t="s">
        <v>20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>
      <c r="B32" s="73"/>
      <c r="C32" s="72" t="s">
        <v>35</v>
      </c>
      <c r="D32" s="56"/>
      <c r="E32" s="56">
        <f t="shared" ref="E32:J32" si="7">SUM(E31)</f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32">
        <f t="shared" si="7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>
      <c r="B33" s="54"/>
      <c r="C33" s="28" t="s">
        <v>19</v>
      </c>
      <c r="D33" s="25"/>
      <c r="E33" s="25">
        <f t="shared" ref="E33:J33" si="8">+E32+E28+E18</f>
        <v>41253.72</v>
      </c>
      <c r="F33" s="25">
        <f t="shared" si="8"/>
        <v>3442.0099999999998</v>
      </c>
      <c r="G33" s="25">
        <f t="shared" si="8"/>
        <v>2569.94</v>
      </c>
      <c r="H33" s="25">
        <f t="shared" si="8"/>
        <v>3057.8099999999995</v>
      </c>
      <c r="I33" s="25">
        <f t="shared" si="8"/>
        <v>4599.7897800000001</v>
      </c>
      <c r="J33" s="27">
        <f t="shared" si="8"/>
        <v>54923.269780000002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0</v>
      </c>
      <c r="P33" s="27">
        <f>+P32+P28+P18</f>
        <v>7600</v>
      </c>
      <c r="Q33" s="25"/>
      <c r="R33" s="25"/>
      <c r="S33" s="21"/>
    </row>
    <row r="34" spans="2:19" s="66" customFormat="1" ht="15" thickBot="1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>
      <c r="B35" s="53"/>
      <c r="C35" s="52"/>
      <c r="D35" s="50"/>
      <c r="E35" s="50" t="s">
        <v>33</v>
      </c>
      <c r="F35" s="50" t="s">
        <v>32</v>
      </c>
      <c r="G35" s="50" t="s">
        <v>31</v>
      </c>
      <c r="H35" s="50" t="s">
        <v>30</v>
      </c>
      <c r="I35" s="50" t="s">
        <v>29</v>
      </c>
      <c r="J35" s="51" t="s">
        <v>28</v>
      </c>
      <c r="K35" s="46"/>
      <c r="L35" s="50" t="s">
        <v>27</v>
      </c>
      <c r="M35" s="50" t="s">
        <v>26</v>
      </c>
      <c r="N35" s="50" t="s">
        <v>25</v>
      </c>
      <c r="O35" s="50" t="s">
        <v>24</v>
      </c>
      <c r="P35" s="50" t="s">
        <v>23</v>
      </c>
      <c r="Q35" s="50"/>
      <c r="R35" s="50"/>
      <c r="S35" s="46"/>
    </row>
    <row r="36" spans="2:19" s="19" customFormat="1" ht="15" thickBot="1">
      <c r="B36" s="49" t="s">
        <v>212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>
      <c r="B37" s="44" t="s">
        <v>38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>
      <c r="B38" s="39" t="s">
        <v>21</v>
      </c>
      <c r="C38" s="38" t="s">
        <v>20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>
      <c r="B39" s="61" t="s">
        <v>487</v>
      </c>
      <c r="C39" s="62" t="s">
        <v>488</v>
      </c>
      <c r="D39" s="22">
        <v>1086</v>
      </c>
      <c r="E39" s="22">
        <f>D39*12</f>
        <v>13032</v>
      </c>
      <c r="F39" s="22">
        <f>D39</f>
        <v>1086</v>
      </c>
      <c r="G39" s="22">
        <v>375</v>
      </c>
      <c r="H39" s="22">
        <f>(D39/12)*8</f>
        <v>724</v>
      </c>
      <c r="I39" s="22">
        <f>E39*11.35%</f>
        <v>1479.1319999999998</v>
      </c>
      <c r="J39" s="59">
        <f>E39+F39+G39+H39+I39</f>
        <v>16696.132000000001</v>
      </c>
      <c r="K39" s="58"/>
      <c r="L39" s="22"/>
      <c r="M39" s="22"/>
      <c r="N39" s="22"/>
      <c r="O39" s="22"/>
      <c r="P39" s="22"/>
      <c r="Q39" s="22"/>
      <c r="R39" s="22"/>
      <c r="S39" s="58"/>
    </row>
    <row r="40" spans="2:19">
      <c r="B40" s="61"/>
      <c r="C40" s="104"/>
      <c r="D40" s="105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>
      <c r="B42" s="34"/>
      <c r="C42" s="33" t="s">
        <v>35</v>
      </c>
      <c r="D42" s="30"/>
      <c r="E42" s="30">
        <f t="shared" ref="E42:J42" si="9">SUM(E39:E40)</f>
        <v>13032</v>
      </c>
      <c r="F42" s="30">
        <f t="shared" si="9"/>
        <v>1086</v>
      </c>
      <c r="G42" s="30">
        <f t="shared" si="9"/>
        <v>375</v>
      </c>
      <c r="H42" s="30">
        <f t="shared" si="9"/>
        <v>724</v>
      </c>
      <c r="I42" s="30">
        <f t="shared" si="9"/>
        <v>1479.1319999999998</v>
      </c>
      <c r="J42" s="30">
        <f t="shared" si="9"/>
        <v>16696.132000000001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>
      <c r="B43" s="29"/>
      <c r="C43" s="28" t="s">
        <v>19</v>
      </c>
      <c r="D43" s="25"/>
      <c r="E43" s="25">
        <f t="shared" ref="E43:J43" si="10">+E42</f>
        <v>13032</v>
      </c>
      <c r="F43" s="25">
        <f t="shared" si="10"/>
        <v>1086</v>
      </c>
      <c r="G43" s="25">
        <f t="shared" si="10"/>
        <v>375</v>
      </c>
      <c r="H43" s="25">
        <f t="shared" si="10"/>
        <v>724</v>
      </c>
      <c r="I43" s="25">
        <f t="shared" si="10"/>
        <v>1479.1319999999998</v>
      </c>
      <c r="J43" s="27">
        <f t="shared" si="10"/>
        <v>16696.132000000001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/>
    <row r="51" spans="2:20" ht="24" thickBot="1">
      <c r="B51" s="18" t="s">
        <v>213</v>
      </c>
      <c r="C51" s="15"/>
      <c r="D51" s="14"/>
      <c r="E51" s="14">
        <f t="shared" ref="E51:J51" si="11">E43+E33</f>
        <v>54285.72</v>
      </c>
      <c r="F51" s="14">
        <f t="shared" si="11"/>
        <v>4528.01</v>
      </c>
      <c r="G51" s="14">
        <f t="shared" si="11"/>
        <v>2944.94</v>
      </c>
      <c r="H51" s="14">
        <f t="shared" si="11"/>
        <v>3781.8099999999995</v>
      </c>
      <c r="I51" s="14">
        <f t="shared" si="11"/>
        <v>6078.9217799999997</v>
      </c>
      <c r="J51" s="14">
        <f t="shared" si="11"/>
        <v>71619.40178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0</v>
      </c>
      <c r="P51" s="14" t="e">
        <f>+#REF!+P43+P33+#REF!</f>
        <v>#REF!</v>
      </c>
      <c r="Q51" s="14"/>
      <c r="R51" s="17"/>
      <c r="T51" s="4"/>
    </row>
    <row r="52" spans="2:20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>
      <c r="T55" s="4"/>
    </row>
    <row r="57" spans="2:20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8"/>
  <sheetViews>
    <sheetView topLeftCell="A14" workbookViewId="0">
      <selection activeCell="C28" sqref="C28"/>
    </sheetView>
  </sheetViews>
  <sheetFormatPr baseColWidth="10" defaultRowHeight="15"/>
  <cols>
    <col min="2" max="2" width="43.28515625" customWidth="1"/>
    <col min="3" max="3" width="18.85546875" bestFit="1" customWidth="1"/>
    <col min="5" max="5" width="24.85546875" customWidth="1"/>
  </cols>
  <sheetData>
    <row r="2" spans="2:5">
      <c r="B2" s="168" t="s">
        <v>259</v>
      </c>
      <c r="C2" s="182">
        <f>SUM(C3:C9)</f>
        <v>216721.3</v>
      </c>
      <c r="D2" s="378" t="s">
        <v>238</v>
      </c>
      <c r="E2" s="378"/>
    </row>
    <row r="3" spans="2:5">
      <c r="B3" s="169" t="s">
        <v>260</v>
      </c>
      <c r="C3" s="180">
        <f>+(INGRESOS!K25+INGRESOS!K35)</f>
        <v>139855.6</v>
      </c>
      <c r="D3" s="170"/>
      <c r="E3" s="170"/>
    </row>
    <row r="4" spans="2:5">
      <c r="B4" s="169" t="s">
        <v>261</v>
      </c>
      <c r="C4" s="169">
        <f>+INGRESOS!K26</f>
        <v>1500</v>
      </c>
      <c r="D4" s="170"/>
      <c r="E4" s="240">
        <f>+C2-INGRESOS!K50</f>
        <v>-11000</v>
      </c>
    </row>
    <row r="5" spans="2:5">
      <c r="B5" s="169" t="s">
        <v>262</v>
      </c>
      <c r="C5" s="169"/>
      <c r="D5" s="170"/>
      <c r="E5" s="170"/>
    </row>
    <row r="6" spans="2:5">
      <c r="B6" s="169" t="s">
        <v>294</v>
      </c>
      <c r="C6" s="180">
        <f>+INGRESOS!K33</f>
        <v>42000</v>
      </c>
      <c r="D6" s="170"/>
      <c r="E6" s="170" t="s">
        <v>361</v>
      </c>
    </row>
    <row r="7" spans="2:5">
      <c r="B7" s="169" t="s">
        <v>372</v>
      </c>
      <c r="C7" s="180">
        <f>+INGRESOS!K32</f>
        <v>33365.699999999997</v>
      </c>
      <c r="D7" s="170"/>
      <c r="E7" s="170"/>
    </row>
    <row r="8" spans="2:5">
      <c r="B8" s="169" t="s">
        <v>368</v>
      </c>
      <c r="C8" s="239">
        <f>+INGRESOS!K41</f>
        <v>0</v>
      </c>
      <c r="D8" s="233"/>
      <c r="E8" s="233"/>
    </row>
    <row r="9" spans="2:5">
      <c r="B9" t="s">
        <v>263</v>
      </c>
      <c r="C9" s="238">
        <f>+INGRESOS!K38</f>
        <v>0</v>
      </c>
    </row>
    <row r="10" spans="2:5">
      <c r="B10" s="168" t="s">
        <v>238</v>
      </c>
    </row>
    <row r="11" spans="2:5">
      <c r="B11" s="168" t="s">
        <v>297</v>
      </c>
      <c r="C11" s="185">
        <f>354*170</f>
        <v>60180</v>
      </c>
      <c r="D11" s="151">
        <f>+C11-INGRESOS!K6</f>
        <v>-1500</v>
      </c>
    </row>
    <row r="12" spans="2:5" ht="15.75">
      <c r="B12" s="171" t="s">
        <v>264</v>
      </c>
      <c r="C12" s="172">
        <f>+DISTRIBUTIVO!E11</f>
        <v>12514.199999999999</v>
      </c>
    </row>
    <row r="13" spans="2:5" ht="15.75">
      <c r="B13" s="171" t="s">
        <v>265</v>
      </c>
      <c r="C13" s="172">
        <f>+DISTRIBUTIVO!E16</f>
        <v>6660</v>
      </c>
    </row>
    <row r="14" spans="2:5" ht="15.75">
      <c r="B14" s="171" t="s">
        <v>266</v>
      </c>
      <c r="C14" s="172">
        <f>+DISTRIBUTIVO!E12+DISTRIBUTIVO!E13+DISTRIBUTIVO!E14+DISTRIBUTIVO!E15</f>
        <v>17519.52</v>
      </c>
    </row>
    <row r="15" spans="2:5" ht="15.75">
      <c r="B15" s="171" t="s">
        <v>267</v>
      </c>
      <c r="C15" s="172">
        <f>+DISTRIBUTIVO!F11</f>
        <v>1042.8499999999999</v>
      </c>
    </row>
    <row r="16" spans="2:5" ht="15.75">
      <c r="B16" s="171" t="s">
        <v>268</v>
      </c>
      <c r="C16" s="172">
        <f>+DISTRIBUTIVO!G11</f>
        <v>364.99</v>
      </c>
    </row>
    <row r="17" spans="2:5" ht="15.75">
      <c r="B17" s="171" t="s">
        <v>269</v>
      </c>
      <c r="C17" s="172">
        <f>+DISTRIBUTIVO!F16</f>
        <v>555</v>
      </c>
    </row>
    <row r="18" spans="2:5" ht="15.75">
      <c r="B18" s="171" t="s">
        <v>270</v>
      </c>
      <c r="C18" s="172">
        <f>+DISTRIBUTIVO!G16</f>
        <v>364.99</v>
      </c>
    </row>
    <row r="19" spans="2:5" ht="15.75">
      <c r="B19" s="171" t="s">
        <v>271</v>
      </c>
      <c r="C19" s="172">
        <f>+DISTRIBUTIVO!F12+DISTRIBUTIVO!F13+DISTRIBUTIVO!F14+DISTRIBUTIVO!F15</f>
        <v>1464.16</v>
      </c>
    </row>
    <row r="20" spans="2:5" ht="15.75">
      <c r="B20" s="171" t="s">
        <v>344</v>
      </c>
      <c r="C20" s="172">
        <f>+DISTRIBUTIVO!G12+DISTRIBUTIVO!G13+ DISTRIBUTIVO!G14+DISTRIBUTIVO!G15</f>
        <v>1459.96</v>
      </c>
    </row>
    <row r="21" spans="2:5" ht="15.75">
      <c r="B21" s="171" t="s">
        <v>272</v>
      </c>
      <c r="C21" s="172">
        <f>+DISTRIBUTIVO!H11</f>
        <v>1042.8499999999999</v>
      </c>
    </row>
    <row r="22" spans="2:5" ht="15.75">
      <c r="B22" s="171" t="s">
        <v>273</v>
      </c>
      <c r="C22" s="172">
        <f>+DISTRIBUTIVO!H16</f>
        <v>555</v>
      </c>
    </row>
    <row r="23" spans="2:5" ht="15.75">
      <c r="B23" s="171" t="s">
        <v>274</v>
      </c>
      <c r="C23" s="172">
        <f>+DISTRIBUTIVO!H12+DISTRIBUTIVO!H13+DISTRIBUTIVO!H14+DISTRIBUTIVO!H15</f>
        <v>1459.96</v>
      </c>
    </row>
    <row r="24" spans="2:5" ht="15.75">
      <c r="B24" s="171" t="s">
        <v>275</v>
      </c>
      <c r="C24" s="172">
        <f>+DISTRIBUTIVO!I11</f>
        <v>1395.3332999999998</v>
      </c>
    </row>
    <row r="25" spans="2:5" ht="15.75">
      <c r="B25" s="171" t="s">
        <v>276</v>
      </c>
      <c r="C25" s="172">
        <f>+DISTRIBUTIVO!I16</f>
        <v>742.59</v>
      </c>
    </row>
    <row r="26" spans="2:5" ht="15.75">
      <c r="B26" s="171" t="s">
        <v>277</v>
      </c>
      <c r="C26" s="172">
        <f>+DISTRIBUTIVO!I12+DISTRIBUTIVO!I13+DISTRIBUTIVO!I14+DISTRIBUTIVO!I15</f>
        <v>1953.4264800000001</v>
      </c>
      <c r="E26">
        <v>354</v>
      </c>
    </row>
    <row r="27" spans="2:5" ht="15.75">
      <c r="B27" s="171" t="s">
        <v>343</v>
      </c>
      <c r="C27" s="172">
        <f>+DISTRIBUTIVO!L18</f>
        <v>0</v>
      </c>
    </row>
    <row r="28" spans="2:5" ht="15.75">
      <c r="B28" s="173" t="s">
        <v>278</v>
      </c>
      <c r="C28" s="181">
        <v>550</v>
      </c>
    </row>
    <row r="29" spans="2:5" ht="15.75">
      <c r="B29" s="173" t="s">
        <v>279</v>
      </c>
      <c r="C29" s="181">
        <v>600</v>
      </c>
    </row>
    <row r="30" spans="2:5" ht="15.75">
      <c r="B30" s="173" t="s">
        <v>445</v>
      </c>
      <c r="C30" s="181">
        <v>1000</v>
      </c>
    </row>
    <row r="31" spans="2:5" ht="15.75">
      <c r="B31" s="173" t="s">
        <v>215</v>
      </c>
      <c r="C31" s="181">
        <v>600</v>
      </c>
      <c r="D31">
        <f>40*12</f>
        <v>480</v>
      </c>
    </row>
    <row r="32" spans="2:5" ht="15.75">
      <c r="B32" s="173" t="s">
        <v>417</v>
      </c>
      <c r="C32" s="181">
        <v>500</v>
      </c>
    </row>
    <row r="33" spans="2:5" ht="15.75">
      <c r="B33" s="173" t="s">
        <v>280</v>
      </c>
      <c r="C33" s="181">
        <v>300</v>
      </c>
    </row>
    <row r="34" spans="2:5" ht="15.75">
      <c r="B34" s="173" t="s">
        <v>295</v>
      </c>
      <c r="C34" s="181">
        <v>100</v>
      </c>
    </row>
    <row r="35" spans="2:5" ht="15.75">
      <c r="B35" s="173" t="s">
        <v>281</v>
      </c>
      <c r="C35" s="181">
        <v>400</v>
      </c>
    </row>
    <row r="36" spans="2:5" ht="15.75">
      <c r="B36" s="173" t="s">
        <v>282</v>
      </c>
      <c r="C36" s="181">
        <v>400</v>
      </c>
    </row>
    <row r="37" spans="2:5" ht="15.75">
      <c r="B37" s="173" t="s">
        <v>283</v>
      </c>
      <c r="C37" s="181">
        <f>150-9.77</f>
        <v>140.22999999999999</v>
      </c>
    </row>
    <row r="38" spans="2:5" ht="15.75">
      <c r="B38" s="173" t="s">
        <v>284</v>
      </c>
      <c r="C38" s="181">
        <v>80</v>
      </c>
    </row>
    <row r="39" spans="2:5" ht="15.75">
      <c r="B39" s="173" t="s">
        <v>285</v>
      </c>
      <c r="C39" s="181">
        <v>500</v>
      </c>
    </row>
    <row r="40" spans="2:5" ht="15.75">
      <c r="B40" s="173" t="s">
        <v>286</v>
      </c>
      <c r="C40" s="174">
        <f>+(INGRESOS!K35+INGRESOS!K25)*0.005</f>
        <v>699.27800000000002</v>
      </c>
    </row>
    <row r="41" spans="2:5" ht="15.75">
      <c r="B41" s="173" t="s">
        <v>403</v>
      </c>
      <c r="C41" s="174">
        <f>+(INGRESOS!K35+INGRESOS!K25)*3%</f>
        <v>4195.6679999999997</v>
      </c>
    </row>
    <row r="42" spans="2:5" ht="15.75">
      <c r="B42" s="173" t="s">
        <v>287</v>
      </c>
      <c r="C42" s="181">
        <v>350</v>
      </c>
    </row>
    <row r="43" spans="2:5" ht="15.75">
      <c r="B43" s="184" t="s">
        <v>296</v>
      </c>
      <c r="C43" s="177">
        <f>SUM(C12:C42)</f>
        <v>59510.005779999992</v>
      </c>
      <c r="D43" s="175"/>
    </row>
    <row r="44" spans="2:5" ht="15.75">
      <c r="B44" s="184" t="s">
        <v>298</v>
      </c>
      <c r="C44" s="183">
        <f>+C11-C43</f>
        <v>669.99422000000777</v>
      </c>
      <c r="D44" s="175"/>
      <c r="E44" s="178"/>
    </row>
    <row r="45" spans="2:5" ht="15.75">
      <c r="B45" s="176" t="s">
        <v>288</v>
      </c>
      <c r="C45" s="177">
        <f>+C2-C43</f>
        <v>157211.29421999998</v>
      </c>
    </row>
    <row r="46" spans="2:5">
      <c r="B46" s="168" t="s">
        <v>435</v>
      </c>
    </row>
    <row r="47" spans="2:5">
      <c r="B47" t="s">
        <v>430</v>
      </c>
      <c r="C47">
        <v>33365.699999999997</v>
      </c>
    </row>
    <row r="48" spans="2:5">
      <c r="B48" t="s">
        <v>418</v>
      </c>
      <c r="C48" s="251">
        <v>15000</v>
      </c>
    </row>
    <row r="49" spans="2:5">
      <c r="B49" s="168" t="s">
        <v>345</v>
      </c>
      <c r="C49" s="251">
        <f>SUM(D50:D51)</f>
        <v>14000</v>
      </c>
    </row>
    <row r="50" spans="2:5">
      <c r="B50" s="254" t="s">
        <v>419</v>
      </c>
      <c r="C50" s="251"/>
      <c r="D50" s="251">
        <v>9000</v>
      </c>
    </row>
    <row r="51" spans="2:5">
      <c r="B51" s="254" t="s">
        <v>420</v>
      </c>
      <c r="C51" s="251"/>
      <c r="D51" s="251">
        <v>5000</v>
      </c>
    </row>
    <row r="52" spans="2:5">
      <c r="B52" t="s">
        <v>421</v>
      </c>
      <c r="C52" s="251">
        <f>3000-153.47</f>
        <v>2846.53</v>
      </c>
    </row>
    <row r="53" spans="2:5" ht="30">
      <c r="B53" s="255" t="s">
        <v>422</v>
      </c>
      <c r="C53" s="251">
        <v>15000</v>
      </c>
    </row>
    <row r="54" spans="2:5">
      <c r="B54" t="s">
        <v>423</v>
      </c>
      <c r="C54" s="250">
        <v>3000</v>
      </c>
    </row>
    <row r="55" spans="2:5">
      <c r="B55" s="168" t="s">
        <v>424</v>
      </c>
      <c r="C55" s="201">
        <f>SUM(D56:D57)</f>
        <v>11000</v>
      </c>
      <c r="D55" s="226"/>
      <c r="E55" s="241"/>
    </row>
    <row r="56" spans="2:5">
      <c r="B56" t="s">
        <v>431</v>
      </c>
      <c r="C56" s="252"/>
      <c r="D56" s="226">
        <v>4000</v>
      </c>
      <c r="E56" s="241"/>
    </row>
    <row r="57" spans="2:5">
      <c r="B57" t="s">
        <v>432</v>
      </c>
      <c r="C57" s="252"/>
      <c r="D57" s="226">
        <f>7000</f>
        <v>7000</v>
      </c>
      <c r="E57" s="241"/>
    </row>
    <row r="58" spans="2:5">
      <c r="C58" s="252"/>
      <c r="D58" s="226"/>
      <c r="E58" s="241"/>
    </row>
    <row r="59" spans="2:5">
      <c r="B59" s="168" t="s">
        <v>425</v>
      </c>
      <c r="C59" s="201">
        <f>SUM(D60:D61)</f>
        <v>4000</v>
      </c>
    </row>
    <row r="60" spans="2:5">
      <c r="B60" t="s">
        <v>433</v>
      </c>
      <c r="C60" s="252"/>
      <c r="D60">
        <v>1000</v>
      </c>
    </row>
    <row r="61" spans="2:5">
      <c r="B61" t="s">
        <v>434</v>
      </c>
      <c r="C61" s="252"/>
      <c r="D61">
        <v>3000</v>
      </c>
    </row>
    <row r="62" spans="2:5">
      <c r="C62" s="252"/>
    </row>
    <row r="63" spans="2:5">
      <c r="B63" t="s">
        <v>442</v>
      </c>
      <c r="C63" s="252">
        <v>19929.55</v>
      </c>
    </row>
    <row r="64" spans="2:5">
      <c r="B64" t="s">
        <v>426</v>
      </c>
      <c r="C64" s="252">
        <v>14000</v>
      </c>
    </row>
    <row r="65" spans="2:9">
      <c r="B65" t="s">
        <v>427</v>
      </c>
      <c r="C65" s="250">
        <v>48000</v>
      </c>
    </row>
    <row r="66" spans="2:9" ht="30">
      <c r="B66" s="255" t="s">
        <v>428</v>
      </c>
      <c r="C66" s="250">
        <v>1500</v>
      </c>
    </row>
    <row r="67" spans="2:9">
      <c r="B67" s="255" t="s">
        <v>429</v>
      </c>
      <c r="C67" s="250">
        <v>7000</v>
      </c>
    </row>
    <row r="68" spans="2:9">
      <c r="C68" s="256">
        <f>SUM(C47:C67)</f>
        <v>188641.78</v>
      </c>
    </row>
    <row r="69" spans="2:9">
      <c r="C69" s="250"/>
    </row>
    <row r="70" spans="2:9">
      <c r="B70" t="s">
        <v>441</v>
      </c>
      <c r="C70" s="256">
        <f>+C45-C68</f>
        <v>-31430.485780000017</v>
      </c>
    </row>
    <row r="71" spans="2:9" s="168" customFormat="1">
      <c r="C71" s="185"/>
      <c r="D71" s="238"/>
      <c r="E71" s="238"/>
    </row>
    <row r="72" spans="2:9">
      <c r="B72" s="261"/>
      <c r="C72" s="262"/>
      <c r="E72" s="151">
        <f>+C71+C43</f>
        <v>59510.005779999992</v>
      </c>
    </row>
    <row r="73" spans="2:9">
      <c r="B73" s="261"/>
      <c r="C73" s="261"/>
      <c r="D73" s="168"/>
      <c r="E73" s="168"/>
    </row>
    <row r="74" spans="2:9">
      <c r="B74" s="169"/>
      <c r="C74" s="169"/>
      <c r="D74" s="168"/>
      <c r="E74" s="168"/>
    </row>
    <row r="75" spans="2:9">
      <c r="B75" s="169"/>
      <c r="C75" s="169"/>
      <c r="D75" s="168"/>
      <c r="E75" s="168"/>
    </row>
    <row r="76" spans="2:9">
      <c r="B76" s="186" t="s">
        <v>299</v>
      </c>
      <c r="E76" s="186" t="s">
        <v>300</v>
      </c>
      <c r="F76" s="186" t="s">
        <v>301</v>
      </c>
      <c r="G76" s="186" t="s">
        <v>19</v>
      </c>
      <c r="H76" s="186" t="s">
        <v>302</v>
      </c>
    </row>
    <row r="77" spans="2:9">
      <c r="B77" s="207" t="s">
        <v>289</v>
      </c>
      <c r="C77" s="207"/>
      <c r="D77" s="207"/>
      <c r="E77" s="207">
        <f>140*4</f>
        <v>560</v>
      </c>
      <c r="F77" s="207">
        <f>230*4</f>
        <v>920</v>
      </c>
      <c r="G77" s="207">
        <f>+F77+E77</f>
        <v>1480</v>
      </c>
      <c r="H77" s="208">
        <f>F77/G77</f>
        <v>0.6216216216216216</v>
      </c>
    </row>
    <row r="78" spans="2:9">
      <c r="B78" s="210" t="s">
        <v>290</v>
      </c>
      <c r="C78" s="210"/>
      <c r="D78" s="210"/>
      <c r="E78" s="210">
        <v>560</v>
      </c>
      <c r="F78" s="210">
        <f>125*4</f>
        <v>500</v>
      </c>
      <c r="G78" s="210">
        <f>+F78+E78</f>
        <v>1060</v>
      </c>
      <c r="H78" s="211">
        <f>+F78/G78</f>
        <v>0.47169811320754718</v>
      </c>
    </row>
    <row r="79" spans="2:9" ht="25.5">
      <c r="B79" s="212" t="s">
        <v>308</v>
      </c>
      <c r="C79" s="212" t="s">
        <v>309</v>
      </c>
      <c r="D79" s="212" t="s">
        <v>310</v>
      </c>
      <c r="E79" s="210"/>
      <c r="F79" s="211"/>
      <c r="G79" s="210"/>
      <c r="H79" s="210"/>
    </row>
    <row r="80" spans="2:9" ht="25.5">
      <c r="B80" s="220" t="s">
        <v>330</v>
      </c>
      <c r="C80" s="213" t="s">
        <v>335</v>
      </c>
      <c r="D80" s="213"/>
      <c r="E80" s="210">
        <v>56</v>
      </c>
      <c r="F80" s="210">
        <v>120</v>
      </c>
      <c r="G80" s="210">
        <f>+F80+E80</f>
        <v>176</v>
      </c>
      <c r="H80" s="211">
        <f>+F80/G80</f>
        <v>0.68181818181818177</v>
      </c>
      <c r="I80" t="e">
        <f>+$C$122*H80</f>
        <v>#REF!</v>
      </c>
    </row>
    <row r="81" spans="2:9" ht="63.75">
      <c r="B81" s="382" t="s">
        <v>311</v>
      </c>
      <c r="C81" s="213" t="s">
        <v>312</v>
      </c>
      <c r="D81" s="213" t="s">
        <v>336</v>
      </c>
      <c r="E81" s="210">
        <v>102</v>
      </c>
      <c r="F81" s="210">
        <v>40</v>
      </c>
      <c r="G81" s="210">
        <f>+F81+E81</f>
        <v>142</v>
      </c>
      <c r="H81" s="211">
        <f>+F81/G81</f>
        <v>0.28169014084507044</v>
      </c>
      <c r="I81" t="e">
        <f>+$C$122*H81</f>
        <v>#REF!</v>
      </c>
    </row>
    <row r="82" spans="2:9" ht="76.5">
      <c r="B82" s="382"/>
      <c r="C82" s="383" t="s">
        <v>313</v>
      </c>
      <c r="D82" s="213" t="s">
        <v>337</v>
      </c>
      <c r="E82" s="210">
        <v>40</v>
      </c>
      <c r="F82" s="210">
        <v>10</v>
      </c>
      <c r="G82" s="210">
        <f>+F82+E82</f>
        <v>50</v>
      </c>
      <c r="H82" s="211">
        <f>+F82/G82</f>
        <v>0.2</v>
      </c>
      <c r="I82" t="e">
        <f>+$C$122*H82</f>
        <v>#REF!</v>
      </c>
    </row>
    <row r="83" spans="2:9" ht="38.25">
      <c r="B83" s="382"/>
      <c r="C83" s="383"/>
      <c r="D83" s="213" t="s">
        <v>314</v>
      </c>
      <c r="E83" s="210">
        <v>560</v>
      </c>
      <c r="F83" s="210">
        <v>60</v>
      </c>
      <c r="G83" s="210">
        <f>+F83+E83</f>
        <v>620</v>
      </c>
      <c r="H83" s="211">
        <f>+F83/G83</f>
        <v>9.6774193548387094E-2</v>
      </c>
      <c r="I83" t="e">
        <f>+$C$122*H83</f>
        <v>#REF!</v>
      </c>
    </row>
    <row r="84" spans="2:9" ht="51" hidden="1">
      <c r="B84" s="382" t="s">
        <v>315</v>
      </c>
      <c r="C84" s="383" t="s">
        <v>316</v>
      </c>
      <c r="D84" s="213" t="s">
        <v>317</v>
      </c>
      <c r="E84" s="210"/>
      <c r="F84" s="211"/>
      <c r="G84" s="210"/>
      <c r="H84" s="210"/>
    </row>
    <row r="85" spans="2:9" ht="25.5" hidden="1">
      <c r="B85" s="382"/>
      <c r="C85" s="383"/>
      <c r="D85" s="213" t="s">
        <v>318</v>
      </c>
      <c r="E85" s="210"/>
      <c r="F85" s="211"/>
      <c r="G85" s="210"/>
      <c r="H85" s="210"/>
    </row>
    <row r="86" spans="2:9" hidden="1">
      <c r="B86" s="382"/>
      <c r="C86" s="383"/>
      <c r="D86" s="213" t="s">
        <v>319</v>
      </c>
      <c r="E86" s="210"/>
      <c r="F86" s="211"/>
      <c r="G86" s="210"/>
      <c r="H86" s="210"/>
    </row>
    <row r="87" spans="2:9" ht="25.5">
      <c r="B87" s="379" t="s">
        <v>331</v>
      </c>
      <c r="C87" s="213"/>
      <c r="D87" s="213" t="s">
        <v>333</v>
      </c>
      <c r="E87" s="210"/>
      <c r="F87" s="211"/>
      <c r="G87" s="210"/>
      <c r="H87" s="210"/>
    </row>
    <row r="88" spans="2:9">
      <c r="B88" s="380"/>
      <c r="C88" s="213"/>
      <c r="D88" s="213" t="s">
        <v>332</v>
      </c>
      <c r="E88" s="210"/>
      <c r="F88" s="210"/>
      <c r="G88" s="210"/>
      <c r="H88" s="211"/>
    </row>
    <row r="89" spans="2:9">
      <c r="B89" s="380"/>
      <c r="C89" s="221"/>
      <c r="D89" s="221" t="s">
        <v>334</v>
      </c>
      <c r="E89" s="210"/>
      <c r="F89" s="210"/>
      <c r="G89" s="210"/>
      <c r="H89" s="211"/>
    </row>
    <row r="90" spans="2:9" ht="89.25">
      <c r="B90" s="381"/>
      <c r="C90" s="213"/>
      <c r="D90" s="213" t="s">
        <v>338</v>
      </c>
      <c r="E90" s="210">
        <v>15</v>
      </c>
      <c r="F90" s="210">
        <v>80</v>
      </c>
      <c r="G90" s="210">
        <f>+F90+E90</f>
        <v>95</v>
      </c>
      <c r="H90" s="211">
        <f>+F90/G90</f>
        <v>0.84210526315789469</v>
      </c>
      <c r="I90" t="e">
        <f>+$C$122*H90</f>
        <v>#REF!</v>
      </c>
    </row>
    <row r="91" spans="2:9">
      <c r="B91" s="214" t="s">
        <v>303</v>
      </c>
      <c r="C91" s="214"/>
      <c r="D91" s="214"/>
      <c r="E91" s="214">
        <v>360</v>
      </c>
      <c r="F91" s="214">
        <f>+F77*65%</f>
        <v>598</v>
      </c>
      <c r="G91" s="214">
        <f>+F91+E91</f>
        <v>958</v>
      </c>
      <c r="H91" s="215">
        <f>+E91/G91</f>
        <v>0.37578288100208768</v>
      </c>
    </row>
    <row r="92" spans="2:9" ht="30">
      <c r="B92" s="209" t="s">
        <v>324</v>
      </c>
      <c r="C92" s="214"/>
      <c r="D92" s="214"/>
      <c r="E92" s="214"/>
      <c r="F92" s="215"/>
      <c r="G92" s="214"/>
      <c r="H92" s="214"/>
    </row>
    <row r="93" spans="2:9">
      <c r="B93" s="209" t="s">
        <v>325</v>
      </c>
      <c r="C93" s="214"/>
      <c r="D93" s="214"/>
      <c r="E93" s="214"/>
      <c r="F93" s="215"/>
      <c r="G93" s="214"/>
      <c r="H93" s="214"/>
    </row>
    <row r="94" spans="2:9">
      <c r="B94" s="209" t="s">
        <v>326</v>
      </c>
      <c r="C94" s="214"/>
      <c r="D94" s="214"/>
      <c r="E94" s="214"/>
      <c r="F94" s="215"/>
      <c r="G94" s="214"/>
      <c r="H94" s="214"/>
    </row>
    <row r="95" spans="2:9" ht="30">
      <c r="B95" s="209" t="s">
        <v>327</v>
      </c>
      <c r="C95" s="214"/>
      <c r="D95" s="214"/>
      <c r="E95" s="214"/>
      <c r="F95" s="215"/>
      <c r="G95" s="214"/>
      <c r="H95" s="214"/>
    </row>
    <row r="96" spans="2:9" ht="30">
      <c r="B96" s="209" t="s">
        <v>328</v>
      </c>
      <c r="C96" s="214"/>
      <c r="D96" s="214"/>
      <c r="E96" s="214"/>
      <c r="F96" s="215"/>
      <c r="G96" s="214"/>
      <c r="H96" s="214"/>
    </row>
    <row r="97" spans="2:8">
      <c r="B97" s="209" t="s">
        <v>329</v>
      </c>
      <c r="C97" s="214"/>
      <c r="D97" s="214"/>
      <c r="E97" s="214"/>
      <c r="F97" s="215"/>
      <c r="G97" s="214"/>
      <c r="H97" s="214"/>
    </row>
    <row r="98" spans="2:8">
      <c r="B98" s="187" t="s">
        <v>291</v>
      </c>
      <c r="C98" s="187"/>
      <c r="D98" s="187"/>
      <c r="E98" s="187">
        <v>59</v>
      </c>
      <c r="F98" s="187">
        <v>236</v>
      </c>
      <c r="G98" s="187">
        <f>+F98+E98</f>
        <v>295</v>
      </c>
      <c r="H98" s="188">
        <f>+F98/G98</f>
        <v>0.8</v>
      </c>
    </row>
    <row r="99" spans="2:8" ht="75">
      <c r="B99" s="218" t="s">
        <v>320</v>
      </c>
      <c r="C99" s="187"/>
      <c r="D99" s="187"/>
      <c r="E99" s="187"/>
      <c r="F99" s="232"/>
      <c r="G99" s="187"/>
      <c r="H99" s="187"/>
    </row>
    <row r="100" spans="2:8" ht="45">
      <c r="B100" s="218" t="s">
        <v>321</v>
      </c>
      <c r="C100" s="187"/>
      <c r="D100" s="187"/>
      <c r="E100" s="187"/>
      <c r="F100" s="188"/>
      <c r="G100" s="187"/>
      <c r="H100" s="187"/>
    </row>
    <row r="101" spans="2:8" ht="45">
      <c r="B101" s="218" t="s">
        <v>322</v>
      </c>
      <c r="C101" s="187"/>
      <c r="D101" s="187"/>
      <c r="E101" s="187"/>
      <c r="F101" s="188"/>
      <c r="G101" s="187"/>
      <c r="H101" s="187"/>
    </row>
    <row r="102" spans="2:8" ht="45">
      <c r="B102" s="218" t="s">
        <v>323</v>
      </c>
      <c r="C102" s="187"/>
      <c r="D102" s="187"/>
      <c r="E102" s="187"/>
      <c r="F102" s="188"/>
      <c r="G102" s="187"/>
      <c r="H102" s="187"/>
    </row>
    <row r="103" spans="2:8">
      <c r="B103" s="187"/>
      <c r="C103" s="187"/>
      <c r="D103" s="187"/>
      <c r="E103" s="187"/>
      <c r="F103" s="188"/>
      <c r="G103" s="187"/>
      <c r="H103" s="187"/>
    </row>
    <row r="104" spans="2:8">
      <c r="B104" s="216" t="s">
        <v>342</v>
      </c>
      <c r="C104" s="216"/>
      <c r="D104" s="216"/>
      <c r="E104" s="216"/>
      <c r="F104" s="216"/>
      <c r="G104" s="216">
        <f>+D104+C104</f>
        <v>0</v>
      </c>
      <c r="H104" s="217">
        <v>0.5</v>
      </c>
    </row>
    <row r="105" spans="2:8">
      <c r="C105" t="s">
        <v>292</v>
      </c>
      <c r="E105" t="s">
        <v>293</v>
      </c>
      <c r="F105" s="178"/>
    </row>
    <row r="106" spans="2:8">
      <c r="B106" s="189" t="s">
        <v>304</v>
      </c>
      <c r="C106" s="202" t="e">
        <f>+#REF!</f>
        <v>#REF!</v>
      </c>
      <c r="D106" s="190">
        <v>1</v>
      </c>
      <c r="E106" s="189">
        <v>20000</v>
      </c>
    </row>
    <row r="107" spans="2:8">
      <c r="B107" s="189" t="s">
        <v>289</v>
      </c>
      <c r="C107" s="200" t="e">
        <f>+C106*D107</f>
        <v>#REF!</v>
      </c>
      <c r="D107" s="190">
        <v>0.4</v>
      </c>
      <c r="E107" s="189">
        <v>0</v>
      </c>
    </row>
    <row r="108" spans="2:8">
      <c r="B108" s="189" t="s">
        <v>290</v>
      </c>
      <c r="C108" s="200" t="e">
        <f>+C106*D108</f>
        <v>#REF!</v>
      </c>
      <c r="D108" s="190">
        <v>0.3</v>
      </c>
      <c r="E108" s="189">
        <v>0</v>
      </c>
    </row>
    <row r="109" spans="2:8">
      <c r="B109" s="189" t="s">
        <v>305</v>
      </c>
      <c r="C109" s="200" t="e">
        <f>+C106*D109</f>
        <v>#REF!</v>
      </c>
      <c r="D109" s="190">
        <v>0.1</v>
      </c>
      <c r="E109" s="189">
        <v>0</v>
      </c>
    </row>
    <row r="110" spans="2:8">
      <c r="B110" s="189" t="s">
        <v>291</v>
      </c>
      <c r="C110" s="200" t="e">
        <f>+C106*D110</f>
        <v>#REF!</v>
      </c>
      <c r="D110" s="190">
        <v>0.15</v>
      </c>
      <c r="E110" s="189">
        <v>0</v>
      </c>
    </row>
    <row r="111" spans="2:8">
      <c r="B111" s="189" t="s">
        <v>306</v>
      </c>
      <c r="C111" s="200" t="e">
        <f>+C106*D111</f>
        <v>#REF!</v>
      </c>
      <c r="D111" s="190">
        <v>0.05</v>
      </c>
      <c r="E111" s="189">
        <v>0</v>
      </c>
    </row>
    <row r="112" spans="2:8">
      <c r="C112" s="151" t="e">
        <f>SUM(C107:C111)</f>
        <v>#REF!</v>
      </c>
      <c r="E112">
        <f>SUM(E107:E111)</f>
        <v>0</v>
      </c>
    </row>
    <row r="113" spans="1:16">
      <c r="C113" s="219" t="s">
        <v>307</v>
      </c>
      <c r="D113" s="219"/>
      <c r="E113" s="219"/>
      <c r="F113" s="377"/>
      <c r="G113" s="377"/>
      <c r="H113" s="377"/>
      <c r="I113" s="377"/>
      <c r="J113" s="377"/>
      <c r="K113" s="203"/>
      <c r="L113" s="203"/>
      <c r="M113" s="203"/>
      <c r="N113" s="203"/>
      <c r="O113" s="203"/>
      <c r="P113" s="203"/>
    </row>
    <row r="114" spans="1:16">
      <c r="B114" s="191" t="s">
        <v>304</v>
      </c>
      <c r="C114" s="192" t="s">
        <v>19</v>
      </c>
      <c r="D114" s="191" t="s">
        <v>300</v>
      </c>
      <c r="E114" s="191" t="s">
        <v>301</v>
      </c>
      <c r="F114" s="204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</row>
    <row r="115" spans="1:16">
      <c r="B115" s="193" t="s">
        <v>289</v>
      </c>
      <c r="C115" s="194" t="e">
        <f>+C107</f>
        <v>#REF!</v>
      </c>
      <c r="D115" s="194" t="e">
        <f>+C115-E115</f>
        <v>#REF!</v>
      </c>
      <c r="E115" s="194" t="e">
        <f>+C115*H77</f>
        <v>#REF!</v>
      </c>
      <c r="F115" s="203"/>
      <c r="G115" s="179"/>
      <c r="H115" s="179"/>
      <c r="I115" s="179"/>
      <c r="J115" s="179"/>
      <c r="K115" s="203"/>
      <c r="L115" s="203"/>
      <c r="M115" s="203"/>
      <c r="N115" s="203"/>
      <c r="O115" s="203"/>
      <c r="P115" s="203"/>
    </row>
    <row r="116" spans="1:16">
      <c r="B116" s="193" t="s">
        <v>290</v>
      </c>
      <c r="C116" s="194" t="e">
        <f>+C108</f>
        <v>#REF!</v>
      </c>
      <c r="D116" s="194" t="e">
        <f>+C116-E116</f>
        <v>#REF!</v>
      </c>
      <c r="E116" s="194" t="e">
        <f>+I80+I81+I82+I83+I90</f>
        <v>#REF!</v>
      </c>
      <c r="F116" s="203"/>
      <c r="G116" s="179"/>
      <c r="H116" s="179"/>
      <c r="I116" s="179"/>
      <c r="J116" s="179"/>
      <c r="K116" s="203"/>
      <c r="L116" s="203"/>
      <c r="M116" s="203"/>
      <c r="N116" s="203"/>
      <c r="O116" s="203"/>
      <c r="P116" s="203"/>
    </row>
    <row r="117" spans="1:16" s="196" customFormat="1">
      <c r="B117" s="193" t="s">
        <v>305</v>
      </c>
      <c r="C117" s="194" t="e">
        <f>+C109</f>
        <v>#REF!</v>
      </c>
      <c r="D117" s="194" t="e">
        <f>+C117-E117</f>
        <v>#REF!</v>
      </c>
      <c r="E117" s="194" t="e">
        <f>+C117*H91</f>
        <v>#REF!</v>
      </c>
      <c r="F117" s="203"/>
      <c r="G117" s="179"/>
      <c r="H117" s="179"/>
      <c r="I117" s="179"/>
      <c r="J117" s="179"/>
      <c r="K117" s="205"/>
      <c r="L117" s="205"/>
      <c r="M117" s="205"/>
      <c r="N117" s="205"/>
      <c r="O117" s="205"/>
      <c r="P117" s="205"/>
    </row>
    <row r="118" spans="1:16" s="196" customFormat="1">
      <c r="B118" s="193" t="s">
        <v>291</v>
      </c>
      <c r="C118" s="194" t="e">
        <f>+C110</f>
        <v>#REF!</v>
      </c>
      <c r="D118" s="194" t="e">
        <f>+C118-E118</f>
        <v>#REF!</v>
      </c>
      <c r="E118" s="194" t="e">
        <f>+C118*H98</f>
        <v>#REF!</v>
      </c>
      <c r="F118" s="203"/>
      <c r="G118" s="179"/>
      <c r="H118" s="179"/>
      <c r="I118" s="179"/>
      <c r="J118" s="179"/>
      <c r="K118" s="206"/>
      <c r="L118" s="206"/>
      <c r="M118" s="206"/>
      <c r="N118" s="206"/>
      <c r="O118" s="206"/>
      <c r="P118" s="206"/>
    </row>
    <row r="119" spans="1:16" s="196" customFormat="1">
      <c r="B119" s="193" t="s">
        <v>306</v>
      </c>
      <c r="C119" s="194" t="e">
        <f>+C111</f>
        <v>#REF!</v>
      </c>
      <c r="D119" s="194" t="e">
        <f>+C119-E119</f>
        <v>#REF!</v>
      </c>
      <c r="E119" s="194" t="e">
        <f>+C119*H104</f>
        <v>#REF!</v>
      </c>
      <c r="F119" s="203"/>
      <c r="G119" s="179"/>
      <c r="H119" s="179"/>
      <c r="I119" s="179"/>
      <c r="J119" s="179"/>
      <c r="K119" s="203"/>
      <c r="L119" s="203"/>
      <c r="M119" s="203"/>
      <c r="N119" s="203"/>
      <c r="O119" s="203"/>
      <c r="P119" s="205"/>
    </row>
    <row r="120" spans="1:16" s="196" customFormat="1">
      <c r="B120" s="191" t="s">
        <v>19</v>
      </c>
      <c r="C120" s="195" t="e">
        <f>SUM(C115:C119)</f>
        <v>#REF!</v>
      </c>
      <c r="D120" s="195" t="e">
        <f>SUM(D115:D119)</f>
        <v>#REF!</v>
      </c>
      <c r="E120" s="195" t="e">
        <f>SUM(E115:E119)</f>
        <v>#REF!</v>
      </c>
      <c r="F120" s="203"/>
      <c r="G120" s="203"/>
      <c r="H120" s="203"/>
      <c r="I120" s="179"/>
      <c r="J120" s="179"/>
      <c r="K120" s="206"/>
      <c r="L120" s="206"/>
      <c r="M120" s="206"/>
      <c r="N120" s="206"/>
      <c r="O120" s="206"/>
      <c r="P120" s="206"/>
    </row>
    <row r="121" spans="1:16" s="196" customFormat="1"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8"/>
    </row>
    <row r="122" spans="1:16" s="196" customFormat="1">
      <c r="C122" s="222" t="e">
        <f>+C116/5</f>
        <v>#REF!</v>
      </c>
      <c r="E122" s="222"/>
      <c r="F122" s="199"/>
    </row>
    <row r="123" spans="1:16">
      <c r="A123" s="196"/>
    </row>
    <row r="125" spans="1:16">
      <c r="B125" t="s">
        <v>362</v>
      </c>
    </row>
    <row r="126" spans="1:16">
      <c r="B126">
        <v>3000</v>
      </c>
      <c r="C126" t="s">
        <v>363</v>
      </c>
    </row>
    <row r="127" spans="1:16">
      <c r="B127" s="151" t="e">
        <f>+D120-B126</f>
        <v>#REF!</v>
      </c>
      <c r="C127" t="s">
        <v>364</v>
      </c>
    </row>
    <row r="128" spans="1:16">
      <c r="B128" t="s">
        <v>365</v>
      </c>
    </row>
  </sheetData>
  <mergeCells count="8">
    <mergeCell ref="F113:H113"/>
    <mergeCell ref="I113:J113"/>
    <mergeCell ref="D2:E2"/>
    <mergeCell ref="B87:B90"/>
    <mergeCell ref="B81:B83"/>
    <mergeCell ref="C82:C83"/>
    <mergeCell ref="B84:B86"/>
    <mergeCell ref="C84:C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D35" sqref="D35"/>
    </sheetView>
  </sheetViews>
  <sheetFormatPr baseColWidth="10" defaultRowHeight="15"/>
  <sheetData>
    <row r="3" spans="4:7">
      <c r="E3" t="s">
        <v>244</v>
      </c>
      <c r="F3" t="s">
        <v>245</v>
      </c>
      <c r="G3" t="s">
        <v>246</v>
      </c>
    </row>
    <row r="4" spans="4:7">
      <c r="D4" t="s">
        <v>243</v>
      </c>
      <c r="E4">
        <v>5</v>
      </c>
      <c r="F4">
        <v>1</v>
      </c>
      <c r="G4">
        <v>0.05</v>
      </c>
    </row>
    <row r="5" spans="4:7">
      <c r="D5" t="s">
        <v>247</v>
      </c>
    </row>
    <row r="11" spans="4:7">
      <c r="D11" t="s">
        <v>248</v>
      </c>
    </row>
    <row r="29" spans="1:4">
      <c r="A29" t="s">
        <v>300</v>
      </c>
      <c r="D29" t="s">
        <v>301</v>
      </c>
    </row>
    <row r="30" spans="1:4">
      <c r="A30" s="168">
        <v>25710.46</v>
      </c>
      <c r="B30" s="168"/>
      <c r="C30" s="168"/>
      <c r="D30" s="168">
        <v>27129.58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G14" sqref="G14"/>
    </sheetView>
  </sheetViews>
  <sheetFormatPr baseColWidth="10" defaultRowHeight="15"/>
  <sheetData>
    <row r="12" spans="6:7">
      <c r="F12">
        <v>1150</v>
      </c>
      <c r="G12" s="151">
        <f>+F12/1.12</f>
        <v>1026.7857142857142</v>
      </c>
    </row>
    <row r="13" spans="6:7">
      <c r="G13" s="151">
        <f>+F12-G12</f>
        <v>123.21428571428578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GASTOS</vt:lpstr>
      <vt:lpstr>DISTRIBUTIVO</vt:lpstr>
      <vt:lpstr>PARTICIPATIVO</vt:lpstr>
      <vt:lpstr>Hoja2</vt:lpstr>
      <vt:lpstr>Hoja3</vt:lpstr>
      <vt:lpstr>Hoja1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Jaime</cp:lastModifiedBy>
  <cp:lastPrinted>2012-06-21T21:04:38Z</cp:lastPrinted>
  <dcterms:created xsi:type="dcterms:W3CDTF">2010-08-18T18:51:53Z</dcterms:created>
  <dcterms:modified xsi:type="dcterms:W3CDTF">2017-01-05T22:08:36Z</dcterms:modified>
</cp:coreProperties>
</file>