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ocuments\PRESUPUESTO, PAC Y POA\2018\"/>
    </mc:Choice>
  </mc:AlternateContent>
  <bookViews>
    <workbookView xWindow="0" yWindow="0" windowWidth="20490" windowHeight="9045" tabRatio="733" activeTab="1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GASTOS!$A$1:$D$253</definedName>
    <definedName name="_xlnm.Print_Area" localSheetId="0">INGRESOS!$A$9:$G$70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52511"/>
</workbook>
</file>

<file path=xl/calcChain.xml><?xml version="1.0" encoding="utf-8"?>
<calcChain xmlns="http://schemas.openxmlformats.org/spreadsheetml/2006/main">
  <c r="I260" i="2" l="1"/>
  <c r="I225" i="2"/>
  <c r="I223" i="2"/>
  <c r="I222" i="2" l="1"/>
  <c r="I219" i="2"/>
  <c r="I113" i="2" l="1"/>
  <c r="J108" i="2"/>
  <c r="I141" i="2"/>
  <c r="I149" i="2"/>
  <c r="I148" i="2"/>
  <c r="I147" i="2"/>
  <c r="J140" i="2" s="1"/>
  <c r="I118" i="2"/>
  <c r="I144" i="2"/>
  <c r="I116" i="2"/>
  <c r="I110" i="2"/>
  <c r="K109" i="2" l="1"/>
  <c r="J175" i="2" l="1"/>
  <c r="J178" i="2"/>
  <c r="J170" i="2" l="1"/>
  <c r="I214" i="2" l="1"/>
  <c r="G226" i="2"/>
  <c r="I200" i="2"/>
  <c r="G271" i="2"/>
  <c r="C259" i="2" l="1"/>
  <c r="C251" i="2"/>
  <c r="D250" i="2" s="1"/>
  <c r="C292" i="2" l="1"/>
  <c r="C293" i="2" l="1"/>
  <c r="C294" i="2" s="1"/>
  <c r="I248" i="2"/>
  <c r="I155" i="2"/>
  <c r="I156" i="2"/>
  <c r="I164" i="2"/>
  <c r="I158" i="2"/>
  <c r="C154" i="2"/>
  <c r="H252" i="2"/>
  <c r="I252" i="2" s="1"/>
  <c r="I190" i="2"/>
  <c r="J241" i="2"/>
  <c r="I267" i="2"/>
  <c r="J267" i="2" s="1"/>
  <c r="J262" i="2"/>
  <c r="I247" i="2"/>
  <c r="J247" i="2" s="1"/>
  <c r="I224" i="2"/>
  <c r="I227" i="2"/>
  <c r="I196" i="2"/>
  <c r="I194" i="2"/>
  <c r="H157" i="2"/>
  <c r="I157" i="2" s="1"/>
  <c r="I273" i="2"/>
  <c r="J273" i="2" s="1"/>
  <c r="J258" i="2"/>
  <c r="I226" i="2"/>
  <c r="I161" i="2"/>
  <c r="I160" i="2" s="1"/>
  <c r="I163" i="2"/>
  <c r="J214" i="2" l="1"/>
  <c r="I154" i="2"/>
  <c r="J154" i="2" s="1"/>
  <c r="I189" i="2"/>
  <c r="J189" i="2" s="1"/>
  <c r="C262" i="2"/>
  <c r="D262" i="2" s="1"/>
  <c r="I262" i="2" s="1"/>
  <c r="C249" i="2"/>
  <c r="C221" i="2"/>
  <c r="C206" i="2"/>
  <c r="C203" i="2"/>
  <c r="C202" i="2" s="1"/>
  <c r="C201" i="2" l="1"/>
  <c r="D200" i="2" s="1"/>
  <c r="J200" i="2" s="1"/>
  <c r="C258" i="2"/>
  <c r="D255" i="2" l="1"/>
  <c r="C257" i="2"/>
  <c r="C71" i="7"/>
  <c r="C61" i="7"/>
  <c r="D12" i="8"/>
  <c r="D18" i="8"/>
  <c r="C146" i="2" l="1"/>
  <c r="C69" i="7"/>
  <c r="C20" i="7"/>
  <c r="C19" i="7"/>
  <c r="C49" i="2" l="1"/>
  <c r="C48" i="2" s="1"/>
  <c r="C46" i="2"/>
  <c r="C56" i="2"/>
  <c r="C17" i="2"/>
  <c r="C72" i="7" l="1"/>
  <c r="C55" i="7"/>
  <c r="D21" i="8" l="1"/>
  <c r="D20" i="8"/>
  <c r="C7" i="7" l="1"/>
  <c r="D11" i="7" l="1"/>
  <c r="L40" i="4" l="1"/>
  <c r="L39" i="4" s="1"/>
  <c r="L30" i="4" s="1"/>
  <c r="K39" i="4"/>
  <c r="K30" i="4"/>
  <c r="O11" i="5"/>
  <c r="K40" i="4"/>
  <c r="K35" i="4"/>
  <c r="K33" i="4"/>
  <c r="K28" i="4"/>
  <c r="K25" i="4"/>
  <c r="K32" i="4"/>
  <c r="J39" i="4"/>
  <c r="E9" i="9" l="1"/>
  <c r="E3" i="9"/>
  <c r="C16" i="2" l="1"/>
  <c r="C195" i="2"/>
  <c r="C163" i="2" l="1"/>
  <c r="C160" i="2"/>
  <c r="C153" i="2" s="1"/>
  <c r="D154" i="2" s="1"/>
  <c r="C143" i="2"/>
  <c r="C33" i="2" l="1"/>
  <c r="K23" i="4" l="1"/>
  <c r="J49" i="4" l="1"/>
  <c r="J48" i="4" s="1"/>
  <c r="J44" i="4"/>
  <c r="J43" i="4" s="1"/>
  <c r="J34" i="4"/>
  <c r="J31" i="4"/>
  <c r="J30" i="4" s="1"/>
  <c r="J27" i="4"/>
  <c r="J26" i="4" s="1"/>
  <c r="J23" i="4"/>
  <c r="J22" i="4" s="1"/>
  <c r="K50" i="4"/>
  <c r="I31" i="4"/>
  <c r="H49" i="4"/>
  <c r="H48" i="4" s="1"/>
  <c r="H44" i="4"/>
  <c r="H43" i="4" s="1"/>
  <c r="H34" i="4"/>
  <c r="G34" i="4"/>
  <c r="F34" i="4"/>
  <c r="G31" i="4"/>
  <c r="G30" i="4" s="1"/>
  <c r="G29" i="4" s="1"/>
  <c r="F33" i="4"/>
  <c r="F31" i="4" s="1"/>
  <c r="F30" i="4" s="1"/>
  <c r="F29" i="4" s="1"/>
  <c r="H31" i="4"/>
  <c r="H30" i="4" s="1"/>
  <c r="H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J29" i="4" l="1"/>
  <c r="J42" i="4"/>
  <c r="J57" i="4"/>
  <c r="H42" i="4"/>
  <c r="F57" i="4" l="1"/>
  <c r="G57" i="4"/>
  <c r="C115" i="2"/>
  <c r="C112" i="2"/>
  <c r="C109" i="2"/>
  <c r="C189" i="2"/>
  <c r="C188" i="2" s="1"/>
  <c r="C193" i="2"/>
  <c r="C192" i="2" s="1"/>
  <c r="C240" i="2"/>
  <c r="C239" i="2" s="1"/>
  <c r="D240" i="2" s="1"/>
  <c r="H39" i="5"/>
  <c r="F39" i="5"/>
  <c r="E39" i="5"/>
  <c r="I39" i="5" s="1"/>
  <c r="C174" i="2"/>
  <c r="D189" i="2" l="1"/>
  <c r="J39" i="5"/>
  <c r="C107" i="2"/>
  <c r="D108" i="2" s="1"/>
  <c r="I108" i="2" s="1"/>
  <c r="C140" i="2" l="1"/>
  <c r="C139" i="2" l="1"/>
  <c r="D140" i="2" s="1"/>
  <c r="I140" i="2" s="1"/>
  <c r="C247" i="2" l="1"/>
  <c r="I12" i="5"/>
  <c r="I16" i="5"/>
  <c r="I17" i="5"/>
  <c r="I11" i="5"/>
  <c r="H12" i="5"/>
  <c r="H16" i="5"/>
  <c r="H11" i="5"/>
  <c r="I44" i="4"/>
  <c r="I43" i="4" s="1"/>
  <c r="K49" i="4"/>
  <c r="K48" i="4" s="1"/>
  <c r="K46" i="4"/>
  <c r="K45" i="4"/>
  <c r="L49" i="4"/>
  <c r="L48" i="4" s="1"/>
  <c r="I49" i="4"/>
  <c r="I48" i="4" s="1"/>
  <c r="G7" i="4"/>
  <c r="I42" i="4" l="1"/>
  <c r="C246" i="2"/>
  <c r="H57" i="4"/>
  <c r="F7" i="4"/>
  <c r="H7" i="4"/>
  <c r="C245" i="2" l="1"/>
  <c r="D247" i="2" s="1"/>
  <c r="G12" i="10"/>
  <c r="G13" i="10" s="1"/>
  <c r="L44" i="4" l="1"/>
  <c r="C177" i="2"/>
  <c r="C173" i="2" s="1"/>
  <c r="C170" i="2"/>
  <c r="C169" i="2" s="1"/>
  <c r="D170" i="2" l="1"/>
  <c r="C3" i="7" l="1"/>
  <c r="D32" i="7"/>
  <c r="I27" i="4"/>
  <c r="I26" i="4" s="1"/>
  <c r="I34" i="4"/>
  <c r="I30" i="4" l="1"/>
  <c r="K44" i="4"/>
  <c r="K43" i="4" s="1"/>
  <c r="C214" i="2"/>
  <c r="I29" i="4" l="1"/>
  <c r="K42" i="4"/>
  <c r="C8" i="7" l="1"/>
  <c r="L43" i="4"/>
  <c r="C9" i="7" l="1"/>
  <c r="L42" i="4"/>
  <c r="D22" i="8" s="1"/>
  <c r="D23" i="8" s="1"/>
  <c r="E79" i="7"/>
  <c r="E7" i="8" l="1"/>
  <c r="E16" i="8"/>
  <c r="E15" i="8"/>
  <c r="E14" i="8"/>
  <c r="E13" i="8"/>
  <c r="E6" i="8"/>
  <c r="E17" i="8"/>
  <c r="D13" i="5"/>
  <c r="H13" i="5" l="1"/>
  <c r="I13" i="5"/>
  <c r="C213" i="2"/>
  <c r="C218" i="2"/>
  <c r="C217" i="2" s="1"/>
  <c r="D214" i="2" l="1"/>
  <c r="C45" i="7"/>
  <c r="C46" i="7"/>
  <c r="C64" i="2"/>
  <c r="C63" i="2"/>
  <c r="C58" i="2"/>
  <c r="C43" i="2"/>
  <c r="C42" i="2"/>
  <c r="C37" i="2"/>
  <c r="C32" i="2"/>
  <c r="C31" i="2"/>
  <c r="C62" i="2" l="1"/>
  <c r="C61" i="2" s="1"/>
  <c r="C29" i="2"/>
  <c r="C68" i="2"/>
  <c r="C67" i="2" s="1"/>
  <c r="G11" i="5"/>
  <c r="C16" i="7" s="1"/>
  <c r="D14" i="5"/>
  <c r="G21" i="5"/>
  <c r="E21" i="5"/>
  <c r="I21" i="5"/>
  <c r="L21" i="5"/>
  <c r="F21" i="5"/>
  <c r="C22" i="7"/>
  <c r="D15" i="5" l="1"/>
  <c r="H14" i="5"/>
  <c r="I14" i="5"/>
  <c r="J21" i="5"/>
  <c r="E11" i="5"/>
  <c r="C12" i="7" s="1"/>
  <c r="D100" i="4"/>
  <c r="E91" i="4"/>
  <c r="D91" i="4"/>
  <c r="K87" i="4"/>
  <c r="K86" i="4"/>
  <c r="C49" i="4"/>
  <c r="C44" i="4"/>
  <c r="E42" i="4"/>
  <c r="D42" i="4"/>
  <c r="C42" i="4"/>
  <c r="L34" i="4"/>
  <c r="K34" i="4"/>
  <c r="K31" i="4"/>
  <c r="L27" i="4"/>
  <c r="L26" i="4" s="1"/>
  <c r="C4" i="7" s="1"/>
  <c r="K27" i="4"/>
  <c r="K26" i="4" s="1"/>
  <c r="E27" i="4"/>
  <c r="D27" i="4"/>
  <c r="C27" i="4"/>
  <c r="E26" i="4"/>
  <c r="D26" i="4"/>
  <c r="C26" i="4"/>
  <c r="L23" i="4"/>
  <c r="L22" i="4" s="1"/>
  <c r="E25" i="4"/>
  <c r="E22" i="4" s="1"/>
  <c r="D25" i="4"/>
  <c r="D22" i="4" s="1"/>
  <c r="C25" i="4"/>
  <c r="C22" i="4" s="1"/>
  <c r="K22" i="4"/>
  <c r="I23" i="4"/>
  <c r="I22" i="4" s="1"/>
  <c r="I57" i="4" s="1"/>
  <c r="E21" i="4"/>
  <c r="E20" i="4" s="1"/>
  <c r="E17" i="4" s="1"/>
  <c r="D21" i="4"/>
  <c r="D20" i="4" s="1"/>
  <c r="D17" i="4" s="1"/>
  <c r="C21" i="4"/>
  <c r="C20" i="4" s="1"/>
  <c r="C17" i="4" s="1"/>
  <c r="K20" i="4"/>
  <c r="K18" i="4"/>
  <c r="K13" i="4"/>
  <c r="K12" i="4" s="1"/>
  <c r="E13" i="4"/>
  <c r="E12" i="4" s="1"/>
  <c r="D13" i="4"/>
  <c r="D12" i="4" s="1"/>
  <c r="C13" i="4"/>
  <c r="C12" i="4" s="1"/>
  <c r="K9" i="4"/>
  <c r="K8" i="4" s="1"/>
  <c r="E9" i="4"/>
  <c r="E8" i="4" s="1"/>
  <c r="D9" i="4"/>
  <c r="D8" i="4" s="1"/>
  <c r="C9" i="4"/>
  <c r="C8" i="4" s="1"/>
  <c r="H15" i="5" l="1"/>
  <c r="I15" i="5"/>
  <c r="K6" i="4"/>
  <c r="L6" i="4"/>
  <c r="K17" i="4"/>
  <c r="C6" i="4"/>
  <c r="C57" i="4" s="1"/>
  <c r="D6" i="4"/>
  <c r="D57" i="4" s="1"/>
  <c r="I7" i="4"/>
  <c r="K7" i="4"/>
  <c r="E6" i="4"/>
  <c r="E57" i="4" s="1"/>
  <c r="K81" i="4"/>
  <c r="K84" i="4"/>
  <c r="L31" i="4"/>
  <c r="L29" i="4" s="1"/>
  <c r="K29" i="4"/>
  <c r="L57" i="4" l="1"/>
  <c r="C2" i="7" s="1"/>
  <c r="K57" i="4"/>
  <c r="K79" i="4"/>
  <c r="K85" i="4"/>
  <c r="C6" i="7"/>
  <c r="G92" i="7"/>
  <c r="H92" i="7" s="1"/>
  <c r="G85" i="7"/>
  <c r="H85" i="7" s="1"/>
  <c r="G84" i="7"/>
  <c r="H84" i="7" s="1"/>
  <c r="G83" i="7"/>
  <c r="H83" i="7" s="1"/>
  <c r="G82" i="7"/>
  <c r="H82" i="7" s="1"/>
  <c r="K89" i="4" l="1"/>
  <c r="K93" i="4" s="1"/>
  <c r="M79" i="4"/>
  <c r="G106" i="7"/>
  <c r="G100" i="7"/>
  <c r="H100" i="7" s="1"/>
  <c r="F80" i="7"/>
  <c r="F79" i="7"/>
  <c r="F93" i="7" s="1"/>
  <c r="E4" i="7" l="1"/>
  <c r="L89" i="4"/>
  <c r="L79" i="4"/>
  <c r="K90" i="4"/>
  <c r="G80" i="7"/>
  <c r="H80" i="7" s="1"/>
  <c r="G93" i="7"/>
  <c r="H93" i="7" s="1"/>
  <c r="G79" i="7"/>
  <c r="H79" i="7" s="1"/>
  <c r="E114" i="7"/>
  <c r="L93" i="4" l="1"/>
  <c r="L85" i="4"/>
  <c r="L90" i="4"/>
  <c r="C24" i="7" l="1"/>
  <c r="G12" i="5"/>
  <c r="G13" i="5" l="1"/>
  <c r="G14" i="5" s="1"/>
  <c r="G15" i="5" s="1"/>
  <c r="G16" i="5" s="1"/>
  <c r="C18" i="7" s="1"/>
  <c r="D18" i="5" l="1"/>
  <c r="C35" i="2"/>
  <c r="G18" i="5" l="1"/>
  <c r="C41" i="2" l="1"/>
  <c r="C129" i="2"/>
  <c r="E45" i="5"/>
  <c r="G28" i="5" l="1"/>
  <c r="C83" i="2" s="1"/>
  <c r="C23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F15" i="5"/>
  <c r="E15" i="5"/>
  <c r="P14" i="5"/>
  <c r="F14" i="5"/>
  <c r="E14" i="5"/>
  <c r="P13" i="5"/>
  <c r="F13" i="5"/>
  <c r="E13" i="5"/>
  <c r="P12" i="5"/>
  <c r="C26" i="7"/>
  <c r="F12" i="5"/>
  <c r="E12" i="5"/>
  <c r="F11" i="5"/>
  <c r="M18" i="5"/>
  <c r="C14" i="7" l="1"/>
  <c r="J11" i="5"/>
  <c r="C15" i="7"/>
  <c r="H18" i="5"/>
  <c r="C21" i="7"/>
  <c r="L18" i="5"/>
  <c r="E18" i="5"/>
  <c r="I18" i="5"/>
  <c r="H28" i="5"/>
  <c r="C99" i="2"/>
  <c r="F18" i="5"/>
  <c r="C19" i="2"/>
  <c r="C93" i="2"/>
  <c r="F42" i="5"/>
  <c r="C14" i="2"/>
  <c r="P18" i="5"/>
  <c r="L28" i="5"/>
  <c r="J42" i="5"/>
  <c r="J12" i="5"/>
  <c r="J13" i="5"/>
  <c r="J14" i="5"/>
  <c r="J15" i="5"/>
  <c r="J16" i="5"/>
  <c r="J17" i="5"/>
  <c r="E28" i="5"/>
  <c r="C79" i="2" s="1"/>
  <c r="C78" i="2" s="1"/>
  <c r="C77" i="2" s="1"/>
  <c r="C27" i="7" l="1"/>
  <c r="C48" i="7" s="1"/>
  <c r="C73" i="7" s="1"/>
  <c r="J18" i="5"/>
  <c r="L33" i="5"/>
  <c r="C26" i="2"/>
  <c r="C50" i="7" l="1"/>
  <c r="D72" i="7" s="1"/>
  <c r="D3" i="8"/>
  <c r="E3" i="8" s="1"/>
  <c r="E31" i="7"/>
  <c r="C121" i="2"/>
  <c r="D4" i="8" l="1"/>
  <c r="E4" i="8" s="1"/>
  <c r="C13" i="2"/>
  <c r="C12" i="2" s="1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C86" i="2" s="1"/>
  <c r="C85" i="2" s="1"/>
  <c r="F28" i="5"/>
  <c r="C82" i="2" s="1"/>
  <c r="C81" i="2" s="1"/>
  <c r="D78" i="2" s="1"/>
  <c r="C25" i="2"/>
  <c r="C24" i="2" s="1"/>
  <c r="C10" i="2"/>
  <c r="C9" i="2" s="1"/>
  <c r="C95" i="2"/>
  <c r="C92" i="2"/>
  <c r="I78" i="2" l="1"/>
  <c r="J78" i="2" s="1"/>
  <c r="C8" i="2"/>
  <c r="F8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C102" i="2" l="1"/>
  <c r="D93" i="2" s="1"/>
  <c r="C126" i="2"/>
  <c r="D122" i="2" s="1"/>
  <c r="C45" i="2"/>
  <c r="C52" i="2"/>
  <c r="C51" i="2" s="1"/>
  <c r="C57" i="2"/>
  <c r="C55" i="2" s="1"/>
  <c r="C71" i="2"/>
  <c r="C70" i="2" s="1"/>
  <c r="C66" i="2" s="1"/>
  <c r="C28" i="2" l="1"/>
  <c r="C49" i="7"/>
  <c r="D6" i="2" l="1"/>
  <c r="C108" i="7"/>
  <c r="C110" i="7" s="1"/>
  <c r="C118" i="7" s="1"/>
  <c r="C124" i="7" s="1"/>
  <c r="J6" i="2" l="1"/>
  <c r="J282" i="2" s="1"/>
  <c r="I6" i="2"/>
  <c r="D282" i="2"/>
  <c r="C112" i="7"/>
  <c r="C120" i="7" s="1"/>
  <c r="E120" i="7" s="1"/>
  <c r="D120" i="7" s="1"/>
  <c r="C111" i="7"/>
  <c r="C119" i="7" s="1"/>
  <c r="E119" i="7" s="1"/>
  <c r="D119" i="7" s="1"/>
  <c r="C109" i="7"/>
  <c r="C117" i="7" s="1"/>
  <c r="E117" i="7" s="1"/>
  <c r="D117" i="7" s="1"/>
  <c r="C113" i="7"/>
  <c r="C121" i="7" s="1"/>
  <c r="E121" i="7" s="1"/>
  <c r="D121" i="7" s="1"/>
  <c r="I84" i="7"/>
  <c r="I85" i="7"/>
  <c r="I83" i="7"/>
  <c r="I92" i="7"/>
  <c r="I82" i="7"/>
  <c r="C122" i="7" l="1"/>
  <c r="C114" i="7"/>
  <c r="E118" i="7"/>
  <c r="E122" i="7" s="1"/>
  <c r="D118" i="7" l="1"/>
  <c r="D122" i="7" s="1"/>
  <c r="B129" i="7" s="1"/>
</calcChain>
</file>

<file path=xl/comments1.xml><?xml version="1.0" encoding="utf-8"?>
<comments xmlns="http://schemas.openxmlformats.org/spreadsheetml/2006/main">
  <authors>
    <author>usuario</author>
    <author>TOSHIBA-A305</author>
  </authors>
  <commentList>
    <comment ref="L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L28" authorId="1" shape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COMPUSTORE</author>
  </authors>
  <commentList>
    <comment ref="B190" authorId="0" shape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jornales para cancha alizal, cancha celel, espacio recreativo remate, mantenimiento cementerio
</t>
        </r>
      </text>
    </comment>
    <comment ref="B194" authorId="0" shape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Materiales para replantillo de Celel y espacio recreativo en el Remate</t>
        </r>
      </text>
    </comment>
    <comment ref="C194" authorId="0" shape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El Remate  12.000
Ampliación plaza central 11887,66.
Desechos solidos 3000
Escalinata Celel. 5064,02</t>
        </r>
      </text>
    </comment>
    <comment ref="I215" authorId="1" shapeId="0">
      <text>
        <r>
          <rPr>
            <b/>
            <sz val="9"/>
            <color indexed="81"/>
            <rFont val="Tahoma"/>
            <family val="2"/>
          </rPr>
          <t>COMPUSTORE:</t>
        </r>
        <r>
          <rPr>
            <sz val="9"/>
            <color indexed="81"/>
            <rFont val="Tahoma"/>
            <family val="2"/>
          </rPr>
          <t xml:space="preserve">
sacar para desmalezadora</t>
        </r>
      </text>
    </comment>
    <comment ref="B22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Tejeras, Cerrucho, sierra plegable
</t>
        </r>
      </text>
    </comment>
    <comment ref="B2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Sulfato de cobre, azufre, Cal agrícola, aceíte agrícola, abono folear, Microblend y 15,15,15, abono orgánico</t>
        </r>
      </text>
    </comment>
    <comment ref="I241" authorId="1" shapeId="0">
      <text>
        <r>
          <rPr>
            <b/>
            <sz val="9"/>
            <color indexed="81"/>
            <rFont val="Tahoma"/>
            <charset val="1"/>
          </rPr>
          <t>COMPUSTORE:</t>
        </r>
        <r>
          <rPr>
            <sz val="9"/>
            <color indexed="81"/>
            <rFont val="Tahoma"/>
            <charset val="1"/>
          </rPr>
          <t xml:space="preserve">
enviar alfruticola</t>
        </r>
      </text>
    </comment>
  </commentList>
</comments>
</file>

<file path=xl/comments3.xml><?xml version="1.0" encoding="utf-8"?>
<comments xmlns="http://schemas.openxmlformats.org/spreadsheetml/2006/main">
  <authors>
    <author>Jhovanny Toral</author>
  </authors>
  <commentList>
    <comment ref="B61" authorId="0" shapeId="0">
      <text>
        <r>
          <rPr>
            <b/>
            <sz val="9"/>
            <color indexed="81"/>
            <rFont val="Tahoma"/>
            <charset val="1"/>
          </rPr>
          <t>Jhovanny Toral:</t>
        </r>
        <r>
          <rPr>
            <sz val="9"/>
            <color indexed="81"/>
            <rFont val="Tahoma"/>
            <charset val="1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comments4.xml><?xml version="1.0" encoding="utf-8"?>
<comments xmlns="http://schemas.openxmlformats.org/spreadsheetml/2006/main">
  <authors>
    <author>Jhovanny Toral</author>
  </authors>
  <commentList>
    <comment ref="C12" authorId="0" shapeId="0">
      <text>
        <r>
          <rPr>
            <b/>
            <sz val="9"/>
            <color indexed="81"/>
            <rFont val="Tahoma"/>
            <charset val="1"/>
          </rPr>
          <t>Jhovanny Toral:</t>
        </r>
        <r>
          <rPr>
            <sz val="9"/>
            <color indexed="81"/>
            <rFont val="Tahoma"/>
            <charset val="1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sharedStrings.xml><?xml version="1.0" encoding="utf-8"?>
<sst xmlns="http://schemas.openxmlformats.org/spreadsheetml/2006/main" count="791" uniqueCount="561">
  <si>
    <t>T O T A L:</t>
  </si>
  <si>
    <t>SALDO EN CAJA Y BANCOS</t>
  </si>
  <si>
    <t>SALDOS DISPONIBLES</t>
  </si>
  <si>
    <t>INGRESO DE FINANCIAMIENTO</t>
  </si>
  <si>
    <t>Del Sector Privado no Financiero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</si>
  <si>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</si>
  <si>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</si>
  <si>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</si>
  <si>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</si>
  <si>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</si>
  <si>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</si>
  <si>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</si>
  <si>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</si>
  <si>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</si>
  <si>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</si>
  <si>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</si>
  <si>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</si>
  <si>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</si>
  <si>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</si>
  <si>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</si>
  <si>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</si>
  <si>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</si>
  <si>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</si>
  <si>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</si>
  <si>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</si>
  <si>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</si>
  <si>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</si>
  <si>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</si>
  <si>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</si>
  <si>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</si>
  <si>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</si>
  <si>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</si>
  <si>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</si>
  <si>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</si>
  <si>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</si>
  <si>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</si>
  <si>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</si>
  <si>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</si>
  <si>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</si>
  <si>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</si>
  <si>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</si>
  <si>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</si>
  <si>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</si>
  <si>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</si>
  <si>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</si>
  <si>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</si>
  <si>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</si>
  <si>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</si>
  <si>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</si>
  <si>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</si>
  <si>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</si>
  <si>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</si>
  <si>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</si>
  <si>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</si>
  <si>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</si>
  <si>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</si>
  <si>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</si>
  <si>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</si>
  <si>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</si>
  <si>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</si>
  <si>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</si>
  <si>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</si>
  <si>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</si>
  <si>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</si>
  <si>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</si>
  <si>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</si>
  <si>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</si>
  <si>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</si>
  <si>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</si>
  <si>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</si>
  <si>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</si>
  <si>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</si>
  <si>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</si>
  <si>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</si>
  <si>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</si>
  <si>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</si>
  <si>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</si>
  <si>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</si>
  <si>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</si>
  <si>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</si>
  <si>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</si>
  <si>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</si>
  <si>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</si>
  <si>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</si>
  <si>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</si>
  <si>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</si>
  <si>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</si>
  <si>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</si>
  <si>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</si>
  <si>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</si>
  <si>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</si>
  <si>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</si>
  <si>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</si>
  <si>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</si>
  <si>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</si>
  <si>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</si>
  <si>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5.3.08.02</t>
  </si>
  <si>
    <t>5.3.08.04</t>
  </si>
  <si>
    <t>Materiales de Oficina</t>
  </si>
  <si>
    <t>5.3.08.05</t>
  </si>
  <si>
    <t>Materiales de Aseo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</si>
  <si>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</si>
  <si>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</si>
  <si>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</si>
  <si>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</si>
  <si>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</si>
  <si>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</si>
  <si>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</si>
  <si>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</si>
  <si>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</si>
  <si>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</si>
  <si>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</si>
  <si>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</si>
  <si>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</si>
  <si>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</si>
  <si>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</si>
  <si>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</si>
  <si>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</si>
  <si>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</si>
  <si>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</si>
  <si>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</si>
  <si>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</si>
  <si>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</si>
  <si>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</si>
  <si>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</si>
  <si>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</si>
  <si>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</si>
  <si>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</si>
  <si>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PROGRAMA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</si>
  <si>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</si>
  <si>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</si>
  <si>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</si>
  <si>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</si>
  <si>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</si>
  <si>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</si>
  <si>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</si>
  <si>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</si>
  <si>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</si>
  <si>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</si>
  <si>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</si>
  <si>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</si>
  <si>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</si>
  <si>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</si>
  <si>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</si>
  <si>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</si>
  <si>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</si>
  <si>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</si>
  <si>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</si>
  <si>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</si>
  <si>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</si>
  <si>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</si>
  <si>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</si>
  <si>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</si>
  <si>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</si>
  <si>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</si>
  <si>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</si>
  <si>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</si>
  <si>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</si>
  <si>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</si>
  <si>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</si>
  <si>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</si>
  <si>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</si>
  <si>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</si>
  <si>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</si>
  <si>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</si>
  <si>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</si>
  <si>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</si>
  <si>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</si>
  <si>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</si>
  <si>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</si>
  <si>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</si>
  <si>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</si>
  <si>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</si>
  <si>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</si>
  <si>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</si>
  <si>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</si>
  <si>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</si>
  <si>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</si>
  <si>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</si>
  <si>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</si>
  <si>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</si>
  <si>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</si>
  <si>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</si>
  <si>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</si>
  <si>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</si>
  <si>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</si>
  <si>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2.8.02.04</t>
  </si>
  <si>
    <t>2.8.02</t>
  </si>
  <si>
    <t>DONACIONES DE CAPITAL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</si>
  <si>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</si>
  <si>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</si>
  <si>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</si>
  <si>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</si>
  <si>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</si>
  <si>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</si>
  <si>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</si>
  <si>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</si>
  <si>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</si>
  <si>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</si>
  <si>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</si>
  <si>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</si>
  <si>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</si>
  <si>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</si>
  <si>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</si>
  <si>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5.3.07.02</t>
  </si>
  <si>
    <t>Arrendamiento y Licencias de Uso de Paq. Inf</t>
  </si>
  <si>
    <t>Manten y Reparacion de Equipos y sist inform.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</si>
  <si>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</si>
  <si>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</si>
  <si>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</si>
  <si>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</si>
  <si>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</si>
  <si>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</si>
  <si>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</si>
  <si>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</si>
  <si>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</si>
  <si>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</si>
  <si>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III - BIENES Y SERVICIOS DE CONSUMO</t>
  </si>
  <si>
    <t>GRUPO I - GASTOS EN EL PERSONAL</t>
  </si>
  <si>
    <t>GASTOS</t>
  </si>
  <si>
    <t>CODIGO</t>
  </si>
  <si>
    <t>7.3.02.01</t>
  </si>
  <si>
    <t>Transporte de personal</t>
  </si>
  <si>
    <t>7.3.02.06</t>
  </si>
  <si>
    <t>GOBIERNO PARROQUIAL DE PRINCIPAL</t>
  </si>
  <si>
    <t>TOTAL PRESUPUESTO GASTOS</t>
  </si>
  <si>
    <t>De Fondos de Autogestion</t>
  </si>
  <si>
    <t>PRESIDENTE DEL GOBIERNO PARROQUIAL</t>
  </si>
  <si>
    <t>1.8.01.04</t>
  </si>
  <si>
    <t>De Gobiernos Autónomos Descentralizados</t>
  </si>
  <si>
    <t>DISTRIBUTIVO DE SUELDOS AÑO 2013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</si>
  <si>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</si>
  <si>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</si>
  <si>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</si>
  <si>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</si>
  <si>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</si>
  <si>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</si>
  <si>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</si>
  <si>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</si>
  <si>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</si>
  <si>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</si>
  <si>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</si>
  <si>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</si>
  <si>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</si>
  <si>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</si>
  <si>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</si>
  <si>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</si>
  <si>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</si>
  <si>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</si>
  <si>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</si>
  <si>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</si>
  <si>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</si>
  <si>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</si>
  <si>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</si>
  <si>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</si>
  <si>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</si>
  <si>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</si>
  <si>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</si>
  <si>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</si>
  <si>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</si>
  <si>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</si>
  <si>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</si>
  <si>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</si>
  <si>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</si>
  <si>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</si>
  <si>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</si>
  <si>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</si>
  <si>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</si>
  <si>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</si>
  <si>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</si>
  <si>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</si>
  <si>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</si>
  <si>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</si>
  <si>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</si>
  <si>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</si>
  <si>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</si>
  <si>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</si>
  <si>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</si>
  <si>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</si>
  <si>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</si>
  <si>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</si>
  <si>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</si>
  <si>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</si>
  <si>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</si>
  <si>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</si>
  <si>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</si>
  <si>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</si>
  <si>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</si>
  <si>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</si>
  <si>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</si>
  <si>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</si>
  <si>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</si>
  <si>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</si>
  <si>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</si>
  <si>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</si>
  <si>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</si>
  <si>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</si>
  <si>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</si>
  <si>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</si>
  <si>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</si>
  <si>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</si>
  <si>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</si>
  <si>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</si>
  <si>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</si>
  <si>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</si>
  <si>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</si>
  <si>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</si>
  <si>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</si>
  <si>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</si>
  <si>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</si>
  <si>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</si>
  <si>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</si>
  <si>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</si>
  <si>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</si>
  <si>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</si>
  <si>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</si>
  <si>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</si>
  <si>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</si>
  <si>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</si>
  <si>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</si>
  <si>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>Bienes de Uso y Consumo de inversión</t>
  </si>
  <si>
    <t>Materiales didácticos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</si>
  <si>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</si>
  <si>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</si>
  <si>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</si>
  <si>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</si>
  <si>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</si>
  <si>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</si>
  <si>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</si>
  <si>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</si>
  <si>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</si>
  <si>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3.7.01.02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</si>
  <si>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</si>
  <si>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</si>
  <si>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</si>
  <si>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</si>
  <si>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</si>
  <si>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3.7.01.01</t>
  </si>
  <si>
    <t>De Fondos del Gobierno Central</t>
  </si>
  <si>
    <t>3.8.01.08</t>
  </si>
  <si>
    <t>Cuentas por cobrar</t>
  </si>
  <si>
    <t>De Anticipos de Fondos por Devengar</t>
  </si>
  <si>
    <t>2.08.01.01</t>
  </si>
  <si>
    <t>Del Gobierno central</t>
  </si>
  <si>
    <t>7.3.08.14.02</t>
  </si>
  <si>
    <t>PROYECTO</t>
  </si>
  <si>
    <t>Bienes y servicios para Inversión</t>
  </si>
  <si>
    <t>Contrataciones de estudios, investigaciones y servicios técnicos especializados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</si>
  <si>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</si>
  <si>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</si>
  <si>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</si>
  <si>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</si>
  <si>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</si>
  <si>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</si>
  <si>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7.3.05.05</t>
  </si>
  <si>
    <t>Jornales para adecentamiento de senderos</t>
  </si>
  <si>
    <t>7.3.08.11</t>
  </si>
  <si>
    <t>3.7.01.99</t>
  </si>
  <si>
    <t xml:space="preserve">Saldo de Fondos GAD Municipal Alcantarillado </t>
  </si>
  <si>
    <t>Sra. Ximena Castro</t>
  </si>
  <si>
    <t>SECRETARIA TESORERA G.P.P</t>
  </si>
  <si>
    <t>arriendo licencia informatico y pagina web</t>
  </si>
  <si>
    <t>Identificar y construir equipamientos y mantener espacios públicos</t>
  </si>
  <si>
    <t>EQUIPAMIENTOS</t>
  </si>
  <si>
    <t>Convenios</t>
  </si>
  <si>
    <t>Servicio de internet</t>
  </si>
  <si>
    <t>FORTALECIMIENTO ECONOMICO DE LA PARROQUIA</t>
  </si>
  <si>
    <t>APOYO A LA GESTION PARROQUIAL DEL TERRITORIO</t>
  </si>
  <si>
    <t>5.3.01.05.01</t>
  </si>
  <si>
    <t>5.3.01.05.02</t>
  </si>
  <si>
    <t>Telecomunicaciones (servicio telefonico)</t>
  </si>
  <si>
    <t>telecomunicaciones (Servicio de Internet)</t>
  </si>
  <si>
    <t>7</t>
  </si>
  <si>
    <t>GASTOS DE INVERSION</t>
  </si>
  <si>
    <t>BIENES Y SERVICIOS PARA INVERSION</t>
  </si>
  <si>
    <t>ARRENDAMIENTO DE BIENES</t>
  </si>
  <si>
    <t>Vehiculos (Arrendamiento)</t>
  </si>
  <si>
    <t>Servicios de Capacitacion</t>
  </si>
  <si>
    <t>Materiales didacticos</t>
  </si>
  <si>
    <t xml:space="preserve"> 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</si>
  <si>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</si>
  <si>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</si>
  <si>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</si>
  <si>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</si>
  <si>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</si>
  <si>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Vestuario, lensería, prendas de protección, accesorios para uniformes militares y policiales; y carpas (PONCHOS)</t>
  </si>
  <si>
    <t>Vehiculos (Arrendamientos)</t>
  </si>
  <si>
    <t>Eventos públicos  y oficiales por  aniversario de parroquialización</t>
  </si>
  <si>
    <t>7.3.02.05</t>
  </si>
  <si>
    <t>Publicidad y propaganda usando otros medios (rótulos publicitarios)</t>
  </si>
  <si>
    <t>Insumos, bienes, materiales y suministros para la contrucción, eléctricos, plomería, carpintería,señalización víal, navegación y contra incendios (señalización de senderos en lugares turísticos).</t>
  </si>
  <si>
    <t xml:space="preserve">Jornales </t>
  </si>
  <si>
    <t>7.3.05.04</t>
  </si>
  <si>
    <t>Insumos, bienes, materiales y suministros para la contrucción, eléctricos, plomería, carpintería,señalización víal, navegación y contra incendios (materiales de construccion para el mentenimiento vial con la tas solidaria).</t>
  </si>
  <si>
    <t>JOSE LUIS PEREZ RUIZ</t>
  </si>
  <si>
    <t>TECNICO</t>
  </si>
  <si>
    <t xml:space="preserve">Combustibles y lubricantes </t>
  </si>
  <si>
    <t>Maquinarías y equipos (Instalación, mantenimiento y reparaciones)</t>
  </si>
  <si>
    <t>Bienes y servicios de inversión</t>
  </si>
  <si>
    <t>Gastos en personal para inversión</t>
  </si>
  <si>
    <t>INGRESOS AÑO 2017</t>
  </si>
  <si>
    <t>Plan Gestión vial</t>
  </si>
  <si>
    <t>Replantillo cancha uso multiple en Celel</t>
  </si>
  <si>
    <t>Adecuación cancha en Alizal</t>
  </si>
  <si>
    <t>Diseño de un producto de fortalecimiento para las actividades de Turismo Comunitario en Principal</t>
  </si>
  <si>
    <t>Recreación para el adulto mayor</t>
  </si>
  <si>
    <t>Parroquia Principal participa de su cambio</t>
  </si>
  <si>
    <t>Intercambio de saberes ancestrales</t>
  </si>
  <si>
    <t>Producción y cultivo de Frutas para elaboración de mermeladas</t>
  </si>
  <si>
    <t>Mantenimiento cementerio parroquial</t>
  </si>
  <si>
    <t>Asesoramiento técnico</t>
  </si>
  <si>
    <t>TOTAL INVERSION</t>
  </si>
  <si>
    <t>Limpieza y mantenimiento de la Infraestructura de la Parroquia Principal</t>
  </si>
  <si>
    <t>Espectáculos culturales y sociales por fiesta de la manzana</t>
  </si>
  <si>
    <t>Vehículos (arriendo)</t>
  </si>
  <si>
    <t>Arrendamiento de Bienes</t>
  </si>
  <si>
    <t>Bienes de Uso y consumo de Inversión</t>
  </si>
  <si>
    <t>Herramientas</t>
  </si>
  <si>
    <t>7.3.08.14.01</t>
  </si>
  <si>
    <t>Insumos agrícolas</t>
  </si>
  <si>
    <t xml:space="preserve">Espacio recreativo inclusivo </t>
  </si>
  <si>
    <t>Subrogaciones</t>
  </si>
  <si>
    <t>Maquinaria y equipos</t>
  </si>
  <si>
    <t>5.1.05.12</t>
  </si>
  <si>
    <t>Subrogación</t>
  </si>
  <si>
    <t>Gastos corrientes</t>
  </si>
  <si>
    <t>TOTAL INGRESOS</t>
  </si>
  <si>
    <t>INGRESSOS</t>
  </si>
  <si>
    <t>%</t>
  </si>
  <si>
    <t>Construcción y mantenimiento equipamientos</t>
  </si>
  <si>
    <t xml:space="preserve">Gasto de inversión </t>
  </si>
  <si>
    <t>GASTOS ESPECÍFICOS</t>
  </si>
  <si>
    <t xml:space="preserve"> INTERCAMBIO DE SABERES ANCESTRALES Y PROTECCION DE DERECHOS NIÑOS, NIÑAS, ADOLESCENTES Y PERSONAS CON DISCAPACIDAD</t>
  </si>
  <si>
    <t xml:space="preserve">PROGRAMA </t>
  </si>
  <si>
    <t>TURISMO EN PRINCIPAL</t>
  </si>
  <si>
    <t>PROYECTO:</t>
  </si>
  <si>
    <t>PLANIFICACION SECTORIAL</t>
  </si>
  <si>
    <t>PLAN DE GESTIÓN PARA LA RED VIAL</t>
  </si>
  <si>
    <t>PRODUCCION Y MANEJO DE FRUTAS PARA LA ELABORACION DE MERMELADAS</t>
  </si>
  <si>
    <t>FORTALECIMIENTO INSTITUCIONAL</t>
  </si>
  <si>
    <t>ACTUALIZACION DE LA NORMATIVA PARROQUIAL Y ASESORAMIENTO TECNICO.</t>
  </si>
  <si>
    <t>Bienes y servicios para inversión</t>
  </si>
  <si>
    <t>Gastos de personal para inversión</t>
  </si>
  <si>
    <t xml:space="preserve">Contratación de estudios, investigaciones y servicios técnicos especializados. </t>
  </si>
  <si>
    <t>Insumos, bienes, materiales y suministros para la contrucción, eléctricos, plomería, carpintería,señalización víal, navegación y contra incendios (materiales de construccion para adecuacion de la cancha de bolly en celel, alizal, cementerio y espacio recreativo).</t>
  </si>
  <si>
    <t>ESTIMACION PROVISIONAL INGRESOS  AÑO 2018</t>
  </si>
  <si>
    <t>OTROS NO OPERACIONALES</t>
  </si>
  <si>
    <t>De Entidades del Gobierno Seccional</t>
  </si>
  <si>
    <t>2.8.10</t>
  </si>
  <si>
    <t>ASIGNACION PRESUPUESTARIA DE VALORES EQUIVALENTES AL IMPUESTO AL VALOR AGREGADO (IVA)</t>
  </si>
  <si>
    <t xml:space="preserve">Del Presupuesto General de Estado a Gobiernos Autónomos Descentralizados Parroquiales Rurales. </t>
  </si>
  <si>
    <t>2.8.10.03</t>
  </si>
  <si>
    <t>Manejo desechos sólidos y basura</t>
  </si>
  <si>
    <t>Escalinata en Celel desde la Iglesia a la vía Chordeleg Principal</t>
  </si>
  <si>
    <t>Incremento de áreas verdes: Ampliación de la plaza central: Primera Etapa</t>
  </si>
  <si>
    <t>Recuperación de IVA</t>
  </si>
  <si>
    <t>Honorarios contratos civiles (contadora)</t>
  </si>
  <si>
    <t>Computador de escritorio</t>
  </si>
  <si>
    <t>Vestuario lencería y prendas de protección</t>
  </si>
  <si>
    <t>Impresora chorro contínuo</t>
  </si>
  <si>
    <t>Espacio recreativo inclusivo El Remate</t>
  </si>
  <si>
    <t>ESTIMACION DEFINITIVA DE INGRESOS AÑO 2018</t>
  </si>
  <si>
    <t>CALCULO DEFINITIVO DE INGRESOS 2018</t>
  </si>
  <si>
    <t>Producción y cultivo de Frutas</t>
  </si>
  <si>
    <t>TOAL INVERSION</t>
  </si>
  <si>
    <t>PROYECTOS ESPECIFICOS</t>
  </si>
  <si>
    <t xml:space="preserve">TOTAL PROYECTOS ESPECIFICOS </t>
  </si>
  <si>
    <t>PROYECTOS PARTICIPACION CIUDADANA</t>
  </si>
  <si>
    <t>TOTAL PROYECTOS PARTICIPACION CIUDADANA</t>
  </si>
  <si>
    <t>GASTOS CORRIENTES</t>
  </si>
  <si>
    <t>GASTO DE INVERSION</t>
  </si>
  <si>
    <t>TOTAL GASTOS</t>
  </si>
  <si>
    <t>Bienes muebles no depreciables</t>
  </si>
  <si>
    <t>Equipos, Sistemas y Paquetes Informáticos (Compra de computadora e impresora)</t>
  </si>
  <si>
    <t>Vestuario, Lencería, Prendas de Protección; y, Accesorios para Uniformes Militares y Policiales; y, Carpas</t>
  </si>
  <si>
    <t>5.3.06.06</t>
  </si>
  <si>
    <t>Contratación de Estudios, Investigaciones y Servicios Técnicos Especializados.</t>
  </si>
  <si>
    <t>Honorarios por Contratos Civiles de Servicios</t>
  </si>
  <si>
    <t xml:space="preserve">FORTALECIMIENTO ORGANIZATIVO </t>
  </si>
  <si>
    <t>ATENCION A GRUPO VULNERABLES</t>
  </si>
  <si>
    <t>Vestuario Lencería, prendas de protección, carpas y otros (camisetas para eventos deportivos)</t>
  </si>
  <si>
    <t>Materiales didacticos (pepelería, balones, accesorios deportivos, etc.)</t>
  </si>
  <si>
    <t>ATENCION A GRUPOS VULNERABLES</t>
  </si>
  <si>
    <t>CULTURA Y DEPORTES</t>
  </si>
  <si>
    <t>Espacios alternativos para atención del adulto mayor.</t>
  </si>
  <si>
    <t>Intercambio de saberes ancestrales yproteccion de derechos de NNA y personas con discapacidad.</t>
  </si>
  <si>
    <t>Actualización de estudios de infraestructura física y normativa parrroquial.</t>
  </si>
  <si>
    <t>Plan de Gestión para la red víal</t>
  </si>
  <si>
    <t>Identificar y Construir equipamientos y mantener espacios públicos.</t>
  </si>
  <si>
    <t>Diseño de un proyecto de fortalecimiento para las actividades de turismo comunitario en principal.</t>
  </si>
  <si>
    <t>Producción y manejo de frutas para la elaboración de mermeladas.</t>
  </si>
  <si>
    <t>Fortalecimiento de la identidad cultural de la parroquia Principal</t>
  </si>
  <si>
    <t>Acompañamiento para el fortalecimiento organizativoy fomento de la participación ciudadana en la parroquia Principal.</t>
  </si>
  <si>
    <t>Campañas para dar a conocer a la ciudadanía las normas parroquiales y municipales.</t>
  </si>
  <si>
    <t>Diseño de un proyecto de fortalecimiento para las actividades de Turismo Comunitario en Principal: Mejoramiento y señalización de senderos</t>
  </si>
  <si>
    <t>Plan de gestión para la red vial</t>
  </si>
  <si>
    <t>Atención Adulto Mayor</t>
  </si>
  <si>
    <t>Intercambio de saberes ancestrales NNA.</t>
  </si>
  <si>
    <t>Estudios de infraestructura física y normativa parrroquial.</t>
  </si>
  <si>
    <t>Ampliación de la plaza central</t>
  </si>
  <si>
    <t xml:space="preserve">Escalinata en Celel </t>
  </si>
  <si>
    <t>Fortalecimiento de la identidad cultural</t>
  </si>
  <si>
    <t>Mejoramiento y señalización de senderos</t>
  </si>
  <si>
    <t>Acompañamiento para el fortalecimiento organizativo y fomento de la participación ciudadana en la parroquia Principal.</t>
  </si>
  <si>
    <t>Servicios varios y limpieza</t>
  </si>
  <si>
    <t>Campañas normas parroquiales y municipales.</t>
  </si>
  <si>
    <t>CAMPAÑAS PARA DAR A CONOCER A LA CIUDADANIA LAS NORMATIVAS PARROQUIALES Y MUNICIPALES.</t>
  </si>
  <si>
    <t>IDENTIFICAR Y CONSTRUIR EQUIPAMIENTOS Y MANTENER ESPACIOS PUBLICOS</t>
  </si>
  <si>
    <t xml:space="preserve"> DISEÑO DE UN PROYECTO DE FORTALECIMIENTO PARA LAS ACTIVIDADES DE TURISMO COMUNITARIO EN PRINCIPAL</t>
  </si>
  <si>
    <t>FORTALECIMIENTO DE LA IDENTIDAD CULTURAL DE LA PARROQUIA PRINCIPAL.</t>
  </si>
  <si>
    <t>ESPACIOS RECREATIVOS PARA ATENCION DEL ADULTO MAYOR</t>
  </si>
  <si>
    <t>ACOMPAÑAMIENTO PARA FORTALECIMIENTO DORGANIZATIVO Y FOMENTO DE LA PARTICIPACIÓN CIUDADANA EN LA PARROQUIA PRINCIPAL.</t>
  </si>
  <si>
    <t>EQUIPO INFORMATICO PARA EL GAD</t>
  </si>
  <si>
    <t>7.5.99.01</t>
  </si>
  <si>
    <t>Asignaciones a distribuir</t>
  </si>
  <si>
    <t>7.3.08.99</t>
  </si>
  <si>
    <t>7.3.15.15</t>
  </si>
  <si>
    <t>7.3.06.01</t>
  </si>
  <si>
    <t>PASIVO CIRCULANTE</t>
  </si>
  <si>
    <t>97.01.01</t>
  </si>
  <si>
    <t>97.01</t>
  </si>
  <si>
    <t>97</t>
  </si>
  <si>
    <t xml:space="preserve">Deuda flotante </t>
  </si>
  <si>
    <t>De cuentas por pagar</t>
  </si>
  <si>
    <t>SALDO</t>
  </si>
  <si>
    <t xml:space="preserve">REFORMA PRESUPUESTARIA AÑO 2018 AL 01 DE JUNIO </t>
  </si>
  <si>
    <t>MOBILIARIO PARA EL GAD</t>
  </si>
  <si>
    <t>Mobiliario (Adquisicion de silla giratoria para el GAD)</t>
  </si>
  <si>
    <t>ALCANTARILLADO DE CELEL</t>
  </si>
  <si>
    <t>8.4.01.03</t>
  </si>
  <si>
    <t>8.4.01</t>
  </si>
  <si>
    <t>PARTIDAS</t>
  </si>
  <si>
    <t>+</t>
  </si>
  <si>
    <t>-</t>
  </si>
  <si>
    <t>Arrendamiento de maquinaria</t>
  </si>
  <si>
    <t>Plantas</t>
  </si>
  <si>
    <t>Otros bienes de consumo e inversion</t>
  </si>
  <si>
    <t>200</t>
  </si>
  <si>
    <t>8</t>
  </si>
  <si>
    <t>8.4</t>
  </si>
  <si>
    <t>8.4.01.04</t>
  </si>
  <si>
    <t>BIENES DE LARGA DURACION</t>
  </si>
  <si>
    <t>Maquinarias y Equipos (Adquisicion de desmalezadora)</t>
  </si>
  <si>
    <t>GASTOS DE CAPITAL</t>
  </si>
  <si>
    <t>Bienes Muebles</t>
  </si>
  <si>
    <t>7.5.99</t>
  </si>
  <si>
    <t>7.5</t>
  </si>
  <si>
    <t>Obras publicas</t>
  </si>
  <si>
    <t>Asignaciones a distribuir para Obras publicas</t>
  </si>
  <si>
    <t>8.4.01.07</t>
  </si>
  <si>
    <t>Bienes muebles</t>
  </si>
  <si>
    <t>Bienes de larga duracion</t>
  </si>
  <si>
    <t>7.5.01.04</t>
  </si>
  <si>
    <t>De urbanizacion y enbellecimiento</t>
  </si>
  <si>
    <t>7.5.01</t>
  </si>
  <si>
    <t>Obras de Infraestructura</t>
  </si>
  <si>
    <t>Obras Publicas</t>
  </si>
  <si>
    <t>Colocacion de pasamano en sector turistico El Quingo</t>
  </si>
  <si>
    <t>7.5.01.05</t>
  </si>
  <si>
    <t>Obras Publicas de Transporte y vías de vias</t>
  </si>
  <si>
    <t>CONTROL DE MALEZAS DE HUERTOS FRUTICOLAS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</si>
</sst>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0000"/>
    <numFmt numFmtId="168" formatCode="#,##0.000000000"/>
    <numFmt numFmtId="169" formatCode="#,##0.0000"/>
    <numFmt numFmtId="170" formatCode="#,##0.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0000"/>
      <name val="Arial"/>
      <family val="2"/>
    </font>
    <font>
      <u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" fontId="20" fillId="0" borderId="1" xfId="0" applyNumberFormat="1" applyFont="1" applyFill="1" applyBorder="1"/>
    <xf numFmtId="4" fontId="19" fillId="0" borderId="1" xfId="0" applyNumberFormat="1" applyFont="1" applyFill="1" applyBorder="1"/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4" fontId="6" fillId="0" borderId="1" xfId="7" applyNumberFormat="1" applyFont="1" applyFill="1" applyBorder="1"/>
    <xf numFmtId="0" fontId="19" fillId="0" borderId="0" xfId="0" applyFont="1"/>
    <xf numFmtId="0" fontId="6" fillId="0" borderId="0" xfId="7" applyFont="1" applyFill="1" applyBorder="1" applyAlignment="1">
      <alignment horizontal="right"/>
    </xf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4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3" fillId="0" borderId="0" xfId="0" applyFont="1" applyBorder="1"/>
    <xf numFmtId="0" fontId="24" fillId="0" borderId="0" xfId="0" applyFont="1"/>
    <xf numFmtId="4" fontId="2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5" fillId="0" borderId="1" xfId="0" applyFont="1" applyBorder="1"/>
    <xf numFmtId="0" fontId="24" fillId="0" borderId="1" xfId="0" applyFont="1" applyBorder="1"/>
    <xf numFmtId="165" fontId="2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5" fillId="0" borderId="1" xfId="9" applyFont="1" applyBorder="1"/>
    <xf numFmtId="0" fontId="20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4" fontId="19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8" fontId="10" fillId="0" borderId="0" xfId="0" applyNumberFormat="1" applyFont="1"/>
    <xf numFmtId="167" fontId="5" fillId="0" borderId="0" xfId="0" applyNumberFormat="1" applyFont="1"/>
    <xf numFmtId="0" fontId="28" fillId="0" borderId="0" xfId="0" applyFont="1" applyFill="1" applyBorder="1" applyAlignment="1"/>
    <xf numFmtId="0" fontId="28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9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0" fontId="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165" fontId="34" fillId="0" borderId="1" xfId="1" applyNumberFormat="1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165" fontId="36" fillId="0" borderId="1" xfId="1" applyNumberFormat="1" applyFont="1" applyFill="1" applyBorder="1" applyAlignment="1">
      <alignment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43" fontId="2" fillId="0" borderId="0" xfId="10" applyFont="1"/>
    <xf numFmtId="0" fontId="29" fillId="0" borderId="0" xfId="0" applyFont="1"/>
    <xf numFmtId="0" fontId="0" fillId="0" borderId="0" xfId="0" applyFont="1"/>
    <xf numFmtId="0" fontId="29" fillId="0" borderId="0" xfId="0" applyFont="1" applyAlignment="1">
      <alignment horizontal="center"/>
    </xf>
    <xf numFmtId="0" fontId="37" fillId="0" borderId="1" xfId="0" applyFont="1" applyFill="1" applyBorder="1" applyAlignment="1">
      <alignment vertical="center" readingOrder="1"/>
    </xf>
    <xf numFmtId="0" fontId="30" fillId="0" borderId="1" xfId="0" applyFont="1" applyBorder="1"/>
    <xf numFmtId="1" fontId="0" fillId="0" borderId="0" xfId="0" applyNumberFormat="1"/>
    <xf numFmtId="0" fontId="38" fillId="5" borderId="1" xfId="0" applyFont="1" applyFill="1" applyBorder="1"/>
    <xf numFmtId="9" fontId="0" fillId="0" borderId="0" xfId="0" applyNumberFormat="1"/>
    <xf numFmtId="2" fontId="0" fillId="0" borderId="0" xfId="0" applyNumberFormat="1" applyFill="1" applyBorder="1"/>
    <xf numFmtId="0" fontId="38" fillId="0" borderId="1" xfId="0" applyFont="1" applyBorder="1"/>
    <xf numFmtId="0" fontId="29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9" fillId="8" borderId="0" xfId="0" applyFont="1" applyFill="1"/>
    <xf numFmtId="0" fontId="0" fillId="8" borderId="0" xfId="0" applyFill="1"/>
    <xf numFmtId="2" fontId="0" fillId="8" borderId="0" xfId="0" applyNumberFormat="1" applyFill="1"/>
    <xf numFmtId="2" fontId="29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9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1" fillId="2" borderId="1" xfId="0" applyFont="1" applyFill="1" applyBorder="1" applyAlignment="1">
      <alignment horizontal="justify" vertical="center"/>
    </xf>
    <xf numFmtId="0" fontId="29" fillId="0" borderId="0" xfId="0" applyFont="1" applyAlignment="1"/>
    <xf numFmtId="0" fontId="40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43" fontId="10" fillId="0" borderId="0" xfId="0" applyNumberFormat="1" applyFont="1"/>
    <xf numFmtId="2" fontId="0" fillId="2" borderId="0" xfId="9" applyNumberFormat="1" applyFont="1" applyFill="1"/>
    <xf numFmtId="0" fontId="29" fillId="0" borderId="0" xfId="0" applyFont="1" applyAlignment="1">
      <alignment horizontal="center"/>
    </xf>
    <xf numFmtId="43" fontId="2" fillId="0" borderId="1" xfId="10" applyFont="1" applyBorder="1"/>
    <xf numFmtId="43" fontId="34" fillId="0" borderId="1" xfId="10" applyFont="1" applyBorder="1" applyAlignment="1">
      <alignment wrapText="1"/>
    </xf>
    <xf numFmtId="43" fontId="36" fillId="0" borderId="1" xfId="10" applyFont="1" applyFill="1" applyBorder="1" applyAlignment="1">
      <alignment wrapText="1"/>
    </xf>
    <xf numFmtId="43" fontId="32" fillId="0" borderId="1" xfId="10" applyFont="1" applyFill="1" applyBorder="1" applyAlignment="1">
      <alignment wrapText="1"/>
    </xf>
    <xf numFmtId="4" fontId="29" fillId="0" borderId="0" xfId="0" applyNumberFormat="1" applyFont="1"/>
    <xf numFmtId="43" fontId="29" fillId="0" borderId="0" xfId="0" applyNumberFormat="1" applyFont="1" applyAlignment="1">
      <alignment horizontal="center"/>
    </xf>
    <xf numFmtId="0" fontId="20" fillId="0" borderId="1" xfId="0" applyFont="1" applyBorder="1"/>
    <xf numFmtId="165" fontId="44" fillId="0" borderId="1" xfId="1" applyNumberFormat="1" applyFont="1" applyFill="1" applyBorder="1" applyAlignment="1">
      <alignment wrapText="1"/>
    </xf>
    <xf numFmtId="0" fontId="7" fillId="13" borderId="1" xfId="7" applyFont="1" applyFill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29" fillId="14" borderId="0" xfId="0" applyFont="1" applyFill="1"/>
    <xf numFmtId="4" fontId="19" fillId="13" borderId="1" xfId="0" applyNumberFormat="1" applyFont="1" applyFill="1" applyBorder="1"/>
    <xf numFmtId="0" fontId="19" fillId="13" borderId="3" xfId="0" applyFont="1" applyFill="1" applyBorder="1" applyAlignment="1">
      <alignment wrapText="1"/>
    </xf>
    <xf numFmtId="49" fontId="20" fillId="13" borderId="1" xfId="0" applyNumberFormat="1" applyFont="1" applyFill="1" applyBorder="1" applyAlignment="1">
      <alignment horizontal="right"/>
    </xf>
    <xf numFmtId="49" fontId="20" fillId="14" borderId="1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wrapText="1"/>
    </xf>
    <xf numFmtId="49" fontId="48" fillId="0" borderId="1" xfId="0" applyNumberFormat="1" applyFont="1" applyFill="1" applyBorder="1" applyAlignment="1">
      <alignment horizontal="right"/>
    </xf>
    <xf numFmtId="0" fontId="48" fillId="0" borderId="1" xfId="0" applyFont="1" applyFill="1" applyBorder="1" applyAlignment="1">
      <alignment wrapText="1"/>
    </xf>
    <xf numFmtId="2" fontId="20" fillId="0" borderId="1" xfId="0" applyNumberFormat="1" applyFont="1" applyFill="1" applyBorder="1"/>
    <xf numFmtId="0" fontId="48" fillId="0" borderId="0" xfId="0" applyFont="1"/>
    <xf numFmtId="2" fontId="48" fillId="0" borderId="1" xfId="0" applyNumberFormat="1" applyFont="1" applyFill="1" applyBorder="1"/>
    <xf numFmtId="2" fontId="19" fillId="0" borderId="1" xfId="0" applyNumberFormat="1" applyFont="1" applyFill="1" applyBorder="1"/>
    <xf numFmtId="4" fontId="20" fillId="0" borderId="0" xfId="0" applyNumberFormat="1" applyFont="1" applyFill="1"/>
    <xf numFmtId="0" fontId="49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49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0" fontId="20" fillId="0" borderId="0" xfId="0" applyFont="1" applyAlignment="1">
      <alignment horizontal="right"/>
    </xf>
    <xf numFmtId="2" fontId="20" fillId="0" borderId="0" xfId="0" applyNumberFormat="1" applyFont="1" applyFill="1" applyBorder="1"/>
    <xf numFmtId="2" fontId="20" fillId="0" borderId="0" xfId="0" applyNumberFormat="1" applyFont="1" applyFill="1"/>
    <xf numFmtId="2" fontId="19" fillId="0" borderId="0" xfId="0" applyNumberFormat="1" applyFont="1" applyFill="1" applyBorder="1"/>
    <xf numFmtId="2" fontId="20" fillId="14" borderId="1" xfId="0" applyNumberFormat="1" applyFont="1" applyFill="1" applyBorder="1"/>
    <xf numFmtId="1" fontId="29" fillId="0" borderId="0" xfId="0" applyNumberFormat="1" applyFont="1"/>
    <xf numFmtId="165" fontId="34" fillId="0" borderId="1" xfId="0" applyNumberFormat="1" applyFont="1" applyBorder="1" applyAlignment="1">
      <alignment wrapText="1"/>
    </xf>
    <xf numFmtId="0" fontId="20" fillId="0" borderId="1" xfId="0" applyFont="1" applyFill="1" applyBorder="1"/>
    <xf numFmtId="2" fontId="20" fillId="0" borderId="1" xfId="0" applyNumberFormat="1" applyFont="1" applyBorder="1"/>
    <xf numFmtId="0" fontId="20" fillId="0" borderId="0" xfId="0" applyFont="1" applyBorder="1"/>
    <xf numFmtId="49" fontId="19" fillId="13" borderId="0" xfId="0" applyNumberFormat="1" applyFont="1" applyFill="1" applyBorder="1" applyAlignment="1">
      <alignment horizontal="left"/>
    </xf>
    <xf numFmtId="0" fontId="20" fillId="13" borderId="0" xfId="0" applyFont="1" applyFill="1" applyBorder="1" applyAlignment="1">
      <alignment wrapText="1"/>
    </xf>
    <xf numFmtId="2" fontId="21" fillId="13" borderId="0" xfId="0" applyNumberFormat="1" applyFont="1" applyFill="1" applyBorder="1" applyAlignment="1">
      <alignment horizontal="center"/>
    </xf>
    <xf numFmtId="4" fontId="21" fillId="13" borderId="0" xfId="0" applyNumberFormat="1" applyFont="1" applyFill="1" applyBorder="1" applyAlignment="1">
      <alignment horizontal="center"/>
    </xf>
    <xf numFmtId="49" fontId="17" fillId="13" borderId="0" xfId="0" applyNumberFormat="1" applyFont="1" applyFill="1" applyBorder="1" applyAlignment="1">
      <alignment horizontal="right"/>
    </xf>
    <xf numFmtId="0" fontId="17" fillId="13" borderId="0" xfId="0" applyFont="1" applyFill="1" applyBorder="1" applyAlignment="1">
      <alignment wrapText="1"/>
    </xf>
    <xf numFmtId="2" fontId="22" fillId="13" borderId="0" xfId="0" applyNumberFormat="1" applyFont="1" applyFill="1" applyBorder="1"/>
    <xf numFmtId="4" fontId="17" fillId="13" borderId="0" xfId="0" applyNumberFormat="1" applyFont="1" applyFill="1" applyBorder="1"/>
    <xf numFmtId="0" fontId="0" fillId="0" borderId="1" xfId="0" applyFill="1" applyBorder="1"/>
    <xf numFmtId="0" fontId="29" fillId="0" borderId="1" xfId="0" applyFont="1" applyFill="1" applyBorder="1"/>
    <xf numFmtId="0" fontId="0" fillId="0" borderId="1" xfId="0" applyFont="1" applyFill="1" applyBorder="1" applyAlignment="1">
      <alignment wrapText="1"/>
    </xf>
    <xf numFmtId="10" fontId="0" fillId="0" borderId="1" xfId="9" applyNumberFormat="1" applyFont="1" applyBorder="1"/>
    <xf numFmtId="0" fontId="29" fillId="0" borderId="1" xfId="0" applyFont="1" applyBorder="1" applyAlignment="1">
      <alignment horizontal="center"/>
    </xf>
    <xf numFmtId="0" fontId="52" fillId="0" borderId="20" xfId="0" applyFont="1" applyBorder="1" applyAlignment="1">
      <alignment vertical="center"/>
    </xf>
    <xf numFmtId="0" fontId="52" fillId="5" borderId="21" xfId="0" applyFont="1" applyFill="1" applyBorder="1" applyAlignment="1">
      <alignment horizontal="right" vertical="center"/>
    </xf>
    <xf numFmtId="0" fontId="53" fillId="0" borderId="22" xfId="0" applyFont="1" applyBorder="1" applyAlignment="1">
      <alignment vertical="center"/>
    </xf>
    <xf numFmtId="0" fontId="53" fillId="5" borderId="23" xfId="0" applyFont="1" applyFill="1" applyBorder="1" applyAlignment="1">
      <alignment horizontal="right" vertical="center"/>
    </xf>
    <xf numFmtId="0" fontId="52" fillId="0" borderId="22" xfId="0" applyFont="1" applyBorder="1" applyAlignment="1">
      <alignment vertical="center"/>
    </xf>
    <xf numFmtId="0" fontId="52" fillId="5" borderId="23" xfId="0" applyFont="1" applyFill="1" applyBorder="1" applyAlignment="1">
      <alignment horizontal="right" vertical="center"/>
    </xf>
    <xf numFmtId="0" fontId="52" fillId="0" borderId="23" xfId="0" applyFont="1" applyBorder="1" applyAlignment="1">
      <alignment horizontal="right" vertical="center"/>
    </xf>
    <xf numFmtId="0" fontId="52" fillId="5" borderId="22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54" fillId="0" borderId="22" xfId="0" applyFont="1" applyBorder="1" applyAlignment="1">
      <alignment vertical="center" wrapText="1"/>
    </xf>
    <xf numFmtId="0" fontId="54" fillId="5" borderId="23" xfId="0" applyFont="1" applyFill="1" applyBorder="1" applyAlignment="1">
      <alignment horizontal="right" vertical="center"/>
    </xf>
    <xf numFmtId="0" fontId="53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0" fontId="53" fillId="0" borderId="22" xfId="0" applyFont="1" applyBorder="1" applyAlignment="1">
      <alignment vertical="center" wrapText="1"/>
    </xf>
    <xf numFmtId="0" fontId="53" fillId="0" borderId="23" xfId="0" applyFont="1" applyBorder="1" applyAlignment="1">
      <alignment horizontal="right" vertical="center"/>
    </xf>
    <xf numFmtId="4" fontId="53" fillId="0" borderId="23" xfId="0" applyNumberFormat="1" applyFont="1" applyBorder="1" applyAlignment="1">
      <alignment horizontal="right" vertical="center"/>
    </xf>
    <xf numFmtId="0" fontId="53" fillId="5" borderId="23" xfId="0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4" fontId="54" fillId="5" borderId="23" xfId="0" applyNumberFormat="1" applyFont="1" applyFill="1" applyBorder="1" applyAlignment="1">
      <alignment horizontal="right" vertical="center"/>
    </xf>
    <xf numFmtId="49" fontId="19" fillId="0" borderId="18" xfId="0" applyNumberFormat="1" applyFont="1" applyFill="1" applyBorder="1" applyAlignment="1">
      <alignment horizontal="right"/>
    </xf>
    <xf numFmtId="0" fontId="19" fillId="0" borderId="18" xfId="0" applyFont="1" applyFill="1" applyBorder="1" applyAlignment="1">
      <alignment wrapText="1"/>
    </xf>
    <xf numFmtId="0" fontId="19" fillId="13" borderId="2" xfId="0" applyFont="1" applyFill="1" applyBorder="1" applyAlignment="1">
      <alignment wrapText="1"/>
    </xf>
    <xf numFmtId="2" fontId="20" fillId="0" borderId="16" xfId="0" applyNumberFormat="1" applyFont="1" applyFill="1" applyBorder="1"/>
    <xf numFmtId="4" fontId="19" fillId="0" borderId="16" xfId="0" applyNumberFormat="1" applyFont="1" applyFill="1" applyBorder="1"/>
    <xf numFmtId="2" fontId="19" fillId="0" borderId="18" xfId="0" applyNumberFormat="1" applyFont="1" applyFill="1" applyBorder="1"/>
    <xf numFmtId="4" fontId="19" fillId="0" borderId="18" xfId="0" applyNumberFormat="1" applyFont="1" applyFill="1" applyBorder="1"/>
    <xf numFmtId="0" fontId="20" fillId="0" borderId="3" xfId="0" applyFont="1" applyBorder="1"/>
    <xf numFmtId="2" fontId="20" fillId="0" borderId="25" xfId="0" applyNumberFormat="1" applyFont="1" applyFill="1" applyBorder="1"/>
    <xf numFmtId="4" fontId="19" fillId="0" borderId="25" xfId="0" applyNumberFormat="1" applyFont="1" applyFill="1" applyBorder="1"/>
    <xf numFmtId="2" fontId="19" fillId="0" borderId="26" xfId="0" applyNumberFormat="1" applyFont="1" applyFill="1" applyBorder="1"/>
    <xf numFmtId="49" fontId="20" fillId="0" borderId="16" xfId="0" applyNumberFormat="1" applyFont="1" applyFill="1" applyBorder="1" applyAlignment="1">
      <alignment horizontal="right"/>
    </xf>
    <xf numFmtId="0" fontId="20" fillId="0" borderId="16" xfId="0" applyFont="1" applyFill="1" applyBorder="1" applyAlignment="1">
      <alignment wrapText="1"/>
    </xf>
    <xf numFmtId="0" fontId="19" fillId="13" borderId="18" xfId="0" applyFont="1" applyFill="1" applyBorder="1" applyAlignment="1">
      <alignment wrapText="1"/>
    </xf>
    <xf numFmtId="0" fontId="19" fillId="13" borderId="26" xfId="0" applyFont="1" applyFill="1" applyBorder="1" applyAlignment="1">
      <alignment wrapText="1"/>
    </xf>
    <xf numFmtId="2" fontId="20" fillId="0" borderId="19" xfId="0" applyNumberFormat="1" applyFont="1" applyFill="1" applyBorder="1"/>
    <xf numFmtId="49" fontId="20" fillId="0" borderId="25" xfId="0" applyNumberFormat="1" applyFont="1" applyFill="1" applyBorder="1" applyAlignment="1">
      <alignment horizontal="right"/>
    </xf>
    <xf numFmtId="0" fontId="20" fillId="0" borderId="25" xfId="0" applyFont="1" applyFill="1" applyBorder="1" applyAlignment="1">
      <alignment wrapText="1"/>
    </xf>
    <xf numFmtId="49" fontId="6" fillId="0" borderId="24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wrapText="1"/>
    </xf>
    <xf numFmtId="49" fontId="19" fillId="13" borderId="1" xfId="0" applyNumberFormat="1" applyFont="1" applyFill="1" applyBorder="1" applyAlignment="1">
      <alignment horizontal="right"/>
    </xf>
    <xf numFmtId="49" fontId="20" fillId="0" borderId="24" xfId="0" applyNumberFormat="1" applyFont="1" applyFill="1" applyBorder="1" applyAlignment="1">
      <alignment horizontal="right"/>
    </xf>
    <xf numFmtId="0" fontId="20" fillId="0" borderId="24" xfId="0" applyFont="1" applyFill="1" applyBorder="1" applyAlignment="1">
      <alignment wrapText="1"/>
    </xf>
    <xf numFmtId="0" fontId="19" fillId="0" borderId="1" xfId="0" applyFont="1" applyBorder="1"/>
    <xf numFmtId="0" fontId="20" fillId="0" borderId="1" xfId="0" applyFont="1" applyFill="1" applyBorder="1" applyAlignment="1">
      <alignment vertical="top" wrapText="1"/>
    </xf>
    <xf numFmtId="0" fontId="32" fillId="0" borderId="1" xfId="7" applyFont="1" applyBorder="1" applyAlignment="1">
      <alignment horizontal="righ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49" fontId="35" fillId="0" borderId="1" xfId="0" applyNumberFormat="1" applyFont="1" applyBorder="1" applyAlignment="1">
      <alignment horizontal="right" wrapText="1"/>
    </xf>
    <xf numFmtId="0" fontId="32" fillId="0" borderId="1" xfId="5" applyFont="1" applyBorder="1" applyAlignment="1">
      <alignment horizontal="right" wrapText="1"/>
    </xf>
    <xf numFmtId="0" fontId="36" fillId="0" borderId="1" xfId="7" applyFont="1" applyBorder="1" applyAlignment="1">
      <alignment horizontal="right" wrapText="1"/>
    </xf>
    <xf numFmtId="0" fontId="33" fillId="0" borderId="1" xfId="0" applyFont="1" applyBorder="1" applyAlignment="1">
      <alignment horizontal="center" wrapText="1"/>
    </xf>
    <xf numFmtId="43" fontId="33" fillId="0" borderId="1" xfId="10" applyFont="1" applyBorder="1" applyAlignment="1">
      <alignment horizontal="right" wrapText="1"/>
    </xf>
    <xf numFmtId="0" fontId="35" fillId="0" borderId="1" xfId="0" applyFont="1" applyBorder="1" applyAlignment="1">
      <alignment horizontal="right" wrapText="1"/>
    </xf>
    <xf numFmtId="43" fontId="0" fillId="5" borderId="0" xfId="10" applyFont="1" applyFill="1"/>
    <xf numFmtId="43" fontId="29" fillId="0" borderId="1" xfId="10" applyFont="1" applyFill="1" applyBorder="1"/>
    <xf numFmtId="43" fontId="0" fillId="0" borderId="1" xfId="10" applyFont="1" applyFill="1" applyBorder="1"/>
    <xf numFmtId="43" fontId="0" fillId="0" borderId="0" xfId="10" applyFont="1" applyFill="1"/>
    <xf numFmtId="43" fontId="0" fillId="0" borderId="0" xfId="10" applyFont="1"/>
    <xf numFmtId="43" fontId="36" fillId="0" borderId="1" xfId="10" applyFont="1" applyFill="1" applyBorder="1" applyAlignment="1">
      <alignment horizontal="center" wrapText="1"/>
    </xf>
    <xf numFmtId="43" fontId="29" fillId="0" borderId="0" xfId="10" applyFont="1"/>
    <xf numFmtId="43" fontId="30" fillId="5" borderId="1" xfId="10" applyFont="1" applyFill="1" applyBorder="1" applyAlignment="1">
      <alignment wrapText="1"/>
    </xf>
    <xf numFmtId="43" fontId="30" fillId="6" borderId="1" xfId="10" applyFont="1" applyFill="1" applyBorder="1"/>
    <xf numFmtId="43" fontId="38" fillId="5" borderId="1" xfId="10" applyFont="1" applyFill="1" applyBorder="1"/>
    <xf numFmtId="43" fontId="38" fillId="0" borderId="1" xfId="10" applyFont="1" applyBorder="1"/>
    <xf numFmtId="43" fontId="29" fillId="14" borderId="0" xfId="10" applyFont="1" applyFill="1"/>
    <xf numFmtId="43" fontId="0" fillId="9" borderId="0" xfId="10" applyFont="1" applyFill="1"/>
    <xf numFmtId="43" fontId="0" fillId="11" borderId="0" xfId="10" applyFont="1" applyFill="1"/>
    <xf numFmtId="43" fontId="39" fillId="11" borderId="1" xfId="10" applyFont="1" applyFill="1" applyBorder="1" applyAlignment="1">
      <alignment horizontal="center" vertical="center" wrapText="1"/>
    </xf>
    <xf numFmtId="43" fontId="40" fillId="11" borderId="1" xfId="10" applyFont="1" applyFill="1" applyBorder="1" applyAlignment="1">
      <alignment vertical="center" wrapText="1"/>
    </xf>
    <xf numFmtId="43" fontId="0" fillId="10" borderId="0" xfId="10" applyFont="1" applyFill="1"/>
    <xf numFmtId="43" fontId="0" fillId="2" borderId="0" xfId="10" applyFont="1" applyFill="1"/>
    <xf numFmtId="43" fontId="0" fillId="12" borderId="0" xfId="10" applyFont="1" applyFill="1"/>
    <xf numFmtId="43" fontId="29" fillId="7" borderId="0" xfId="10" applyFont="1" applyFill="1"/>
    <xf numFmtId="43" fontId="0" fillId="7" borderId="0" xfId="10" applyFont="1" applyFill="1"/>
    <xf numFmtId="43" fontId="29" fillId="0" borderId="0" xfId="10" applyFont="1" applyAlignment="1"/>
    <xf numFmtId="43" fontId="29" fillId="8" borderId="0" xfId="10" applyFont="1" applyFill="1"/>
    <xf numFmtId="43" fontId="0" fillId="8" borderId="0" xfId="10" applyFont="1" applyFill="1"/>
    <xf numFmtId="0" fontId="38" fillId="14" borderId="1" xfId="0" applyFont="1" applyFill="1" applyBorder="1"/>
    <xf numFmtId="43" fontId="38" fillId="14" borderId="1" xfId="10" applyFont="1" applyFill="1" applyBorder="1"/>
    <xf numFmtId="43" fontId="0" fillId="5" borderId="1" xfId="10" applyFont="1" applyFill="1" applyBorder="1"/>
    <xf numFmtId="0" fontId="29" fillId="0" borderId="1" xfId="0" applyFont="1" applyBorder="1"/>
    <xf numFmtId="43" fontId="29" fillId="5" borderId="1" xfId="10" applyFont="1" applyFill="1" applyBorder="1"/>
    <xf numFmtId="0" fontId="29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47" fillId="0" borderId="1" xfId="0" applyFont="1" applyFill="1" applyBorder="1" applyAlignment="1">
      <alignment horizontal="right" vertical="center" wrapText="1"/>
    </xf>
    <xf numFmtId="43" fontId="0" fillId="14" borderId="1" xfId="10" applyFont="1" applyFill="1" applyBorder="1"/>
    <xf numFmtId="43" fontId="29" fillId="14" borderId="1" xfId="10" applyFont="1" applyFill="1" applyBorder="1"/>
    <xf numFmtId="2" fontId="20" fillId="0" borderId="0" xfId="0" applyNumberFormat="1" applyFont="1"/>
    <xf numFmtId="43" fontId="29" fillId="0" borderId="1" xfId="10" applyFont="1" applyBorder="1"/>
    <xf numFmtId="0" fontId="38" fillId="0" borderId="1" xfId="0" applyFont="1" applyFill="1" applyBorder="1"/>
    <xf numFmtId="43" fontId="38" fillId="0" borderId="1" xfId="10" applyFont="1" applyFill="1" applyBorder="1"/>
    <xf numFmtId="0" fontId="0" fillId="15" borderId="0" xfId="0" applyFill="1" applyAlignment="1">
      <alignment wrapText="1"/>
    </xf>
    <xf numFmtId="0" fontId="0" fillId="15" borderId="0" xfId="0" applyFont="1" applyFill="1" applyAlignment="1">
      <alignment wrapText="1"/>
    </xf>
    <xf numFmtId="0" fontId="0" fillId="15" borderId="0" xfId="0" applyFill="1"/>
    <xf numFmtId="0" fontId="0" fillId="15" borderId="1" xfId="0" applyFill="1" applyBorder="1" applyAlignment="1">
      <alignment wrapText="1"/>
    </xf>
    <xf numFmtId="0" fontId="29" fillId="15" borderId="0" xfId="0" applyFont="1" applyFill="1" applyAlignment="1">
      <alignment horizontal="left" vertical="top" wrapText="1"/>
    </xf>
    <xf numFmtId="0" fontId="0" fillId="14" borderId="0" xfId="0" applyFill="1" applyAlignment="1">
      <alignment wrapText="1"/>
    </xf>
    <xf numFmtId="0" fontId="0" fillId="14" borderId="0" xfId="0" applyFont="1" applyFill="1" applyAlignment="1">
      <alignment wrapText="1"/>
    </xf>
    <xf numFmtId="0" fontId="0" fillId="14" borderId="0" xfId="0" applyFont="1" applyFill="1" applyAlignment="1">
      <alignment horizontal="left" vertical="top" wrapText="1"/>
    </xf>
    <xf numFmtId="0" fontId="47" fillId="14" borderId="0" xfId="0" applyFont="1" applyFill="1" applyBorder="1" applyAlignment="1">
      <alignment horizontal="left" vertical="top" wrapText="1"/>
    </xf>
    <xf numFmtId="0" fontId="0" fillId="14" borderId="1" xfId="0" applyFill="1" applyBorder="1" applyAlignment="1">
      <alignment wrapText="1"/>
    </xf>
    <xf numFmtId="0" fontId="0" fillId="15" borderId="1" xfId="0" applyFill="1" applyBorder="1"/>
    <xf numFmtId="0" fontId="0" fillId="0" borderId="1" xfId="0" applyFont="1" applyBorder="1" applyAlignment="1">
      <alignment horizontal="right" wrapText="1"/>
    </xf>
    <xf numFmtId="0" fontId="0" fillId="14" borderId="1" xfId="0" applyFill="1" applyBorder="1"/>
    <xf numFmtId="0" fontId="36" fillId="16" borderId="1" xfId="0" applyFont="1" applyFill="1" applyBorder="1" applyAlignment="1">
      <alignment horizontal="center" vertical="center" wrapText="1"/>
    </xf>
    <xf numFmtId="165" fontId="33" fillId="16" borderId="1" xfId="1" applyNumberFormat="1" applyFont="1" applyFill="1" applyBorder="1" applyAlignment="1">
      <alignment wrapText="1"/>
    </xf>
    <xf numFmtId="0" fontId="11" fillId="16" borderId="1" xfId="0" applyFont="1" applyFill="1" applyBorder="1"/>
    <xf numFmtId="0" fontId="10" fillId="16" borderId="1" xfId="0" applyFont="1" applyFill="1" applyBorder="1"/>
    <xf numFmtId="0" fontId="2" fillId="16" borderId="1" xfId="0" applyFont="1" applyFill="1" applyBorder="1"/>
    <xf numFmtId="0" fontId="3" fillId="16" borderId="1" xfId="0" applyFont="1" applyFill="1" applyBorder="1"/>
    <xf numFmtId="165" fontId="34" fillId="16" borderId="1" xfId="1" applyNumberFormat="1" applyFont="1" applyFill="1" applyBorder="1" applyAlignment="1">
      <alignment wrapText="1"/>
    </xf>
    <xf numFmtId="165" fontId="36" fillId="16" borderId="1" xfId="1" applyNumberFormat="1" applyFont="1" applyFill="1" applyBorder="1" applyAlignment="1">
      <alignment wrapText="1"/>
    </xf>
    <xf numFmtId="43" fontId="10" fillId="16" borderId="1" xfId="0" applyNumberFormat="1" applyFont="1" applyFill="1" applyBorder="1"/>
    <xf numFmtId="165" fontId="32" fillId="16" borderId="1" xfId="1" applyNumberFormat="1" applyFont="1" applyFill="1" applyBorder="1" applyAlignment="1">
      <alignment wrapText="1"/>
    </xf>
    <xf numFmtId="43" fontId="3" fillId="16" borderId="1" xfId="0" applyNumberFormat="1" applyFont="1" applyFill="1" applyBorder="1"/>
    <xf numFmtId="43" fontId="2" fillId="16" borderId="1" xfId="10" applyFont="1" applyFill="1" applyBorder="1"/>
    <xf numFmtId="43" fontId="11" fillId="16" borderId="1" xfId="10" applyFont="1" applyFill="1" applyBorder="1"/>
    <xf numFmtId="43" fontId="34" fillId="16" borderId="1" xfId="10" applyFont="1" applyFill="1" applyBorder="1" applyAlignment="1">
      <alignment wrapText="1"/>
    </xf>
    <xf numFmtId="43" fontId="36" fillId="16" borderId="1" xfId="10" applyFont="1" applyFill="1" applyBorder="1" applyAlignment="1">
      <alignment wrapText="1"/>
    </xf>
    <xf numFmtId="43" fontId="32" fillId="16" borderId="1" xfId="10" applyFont="1" applyFill="1" applyBorder="1" applyAlignment="1">
      <alignment wrapText="1"/>
    </xf>
    <xf numFmtId="165" fontId="34" fillId="16" borderId="1" xfId="0" applyNumberFormat="1" applyFont="1" applyFill="1" applyBorder="1" applyAlignment="1">
      <alignment wrapText="1"/>
    </xf>
    <xf numFmtId="0" fontId="20" fillId="13" borderId="1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2" fontId="35" fillId="0" borderId="0" xfId="0" applyNumberFormat="1" applyFont="1" applyFill="1" applyBorder="1"/>
    <xf numFmtId="4" fontId="35" fillId="0" borderId="0" xfId="0" applyNumberFormat="1" applyFont="1"/>
    <xf numFmtId="2" fontId="19" fillId="0" borderId="0" xfId="0" applyNumberFormat="1" applyFont="1"/>
    <xf numFmtId="0" fontId="20" fillId="17" borderId="0" xfId="0" applyFont="1" applyFill="1"/>
    <xf numFmtId="4" fontId="20" fillId="17" borderId="0" xfId="0" applyNumberFormat="1" applyFont="1" applyFill="1"/>
    <xf numFmtId="43" fontId="20" fillId="17" borderId="0" xfId="0" applyNumberFormat="1" applyFont="1" applyFill="1"/>
    <xf numFmtId="2" fontId="20" fillId="17" borderId="0" xfId="0" applyNumberFormat="1" applyFont="1" applyFill="1"/>
    <xf numFmtId="2" fontId="19" fillId="17" borderId="0" xfId="0" applyNumberFormat="1" applyFont="1" applyFill="1"/>
    <xf numFmtId="0" fontId="20" fillId="17" borderId="19" xfId="0" applyFont="1" applyFill="1" applyBorder="1"/>
    <xf numFmtId="0" fontId="20" fillId="17" borderId="0" xfId="0" applyFont="1" applyFill="1" applyBorder="1"/>
    <xf numFmtId="4" fontId="20" fillId="17" borderId="19" xfId="0" applyNumberFormat="1" applyFont="1" applyFill="1" applyBorder="1"/>
    <xf numFmtId="4" fontId="20" fillId="17" borderId="0" xfId="0" applyNumberFormat="1" applyFont="1" applyFill="1" applyBorder="1"/>
    <xf numFmtId="2" fontId="20" fillId="17" borderId="0" xfId="0" applyNumberFormat="1" applyFont="1" applyFill="1" applyBorder="1"/>
    <xf numFmtId="4" fontId="19" fillId="17" borderId="0" xfId="0" applyNumberFormat="1" applyFont="1" applyFill="1"/>
    <xf numFmtId="2" fontId="35" fillId="0" borderId="0" xfId="0" applyNumberFormat="1" applyFont="1"/>
    <xf numFmtId="2" fontId="19" fillId="11" borderId="0" xfId="0" applyNumberFormat="1" applyFont="1" applyFill="1"/>
    <xf numFmtId="0" fontId="3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/>
    </xf>
    <xf numFmtId="0" fontId="55" fillId="0" borderId="0" xfId="0" applyFont="1"/>
    <xf numFmtId="49" fontId="2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wrapText="1"/>
    </xf>
    <xf numFmtId="0" fontId="56" fillId="0" borderId="24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49" fillId="0" borderId="1" xfId="7" applyFont="1" applyFill="1" applyBorder="1" applyAlignment="1">
      <alignment wrapText="1"/>
    </xf>
    <xf numFmtId="49" fontId="19" fillId="13" borderId="0" xfId="0" applyNumberFormat="1" applyFont="1" applyFill="1" applyBorder="1" applyAlignment="1">
      <alignment horizontal="right"/>
    </xf>
    <xf numFmtId="0" fontId="19" fillId="13" borderId="0" xfId="0" applyFont="1" applyFill="1" applyBorder="1" applyAlignment="1">
      <alignment wrapText="1"/>
    </xf>
    <xf numFmtId="0" fontId="19" fillId="13" borderId="24" xfId="0" applyFont="1" applyFill="1" applyBorder="1" applyAlignment="1">
      <alignment wrapText="1"/>
    </xf>
    <xf numFmtId="49" fontId="19" fillId="13" borderId="24" xfId="0" applyNumberFormat="1" applyFont="1" applyFill="1" applyBorder="1" applyAlignment="1">
      <alignment horizontal="right"/>
    </xf>
    <xf numFmtId="2" fontId="55" fillId="11" borderId="0" xfId="0" applyNumberFormat="1" applyFont="1" applyFill="1" applyBorder="1"/>
    <xf numFmtId="4" fontId="6" fillId="17" borderId="19" xfId="0" applyNumberFormat="1" applyFont="1" applyFill="1" applyBorder="1"/>
    <xf numFmtId="2" fontId="6" fillId="17" borderId="0" xfId="0" applyNumberFormat="1" applyFont="1" applyFill="1"/>
    <xf numFmtId="2" fontId="7" fillId="11" borderId="0" xfId="0" applyNumberFormat="1" applyFont="1" applyFill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2" fontId="35" fillId="11" borderId="0" xfId="0" applyNumberFormat="1" applyFont="1" applyFill="1" applyAlignment="1">
      <alignment horizontal="center" wrapText="1"/>
    </xf>
    <xf numFmtId="0" fontId="19" fillId="17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40" fillId="11" borderId="16" xfId="0" applyFont="1" applyFill="1" applyBorder="1" applyAlignment="1">
      <alignment horizontal="center" vertical="center" wrapText="1"/>
    </xf>
    <xf numFmtId="0" fontId="40" fillId="11" borderId="17" xfId="0" applyFont="1" applyFill="1" applyBorder="1" applyAlignment="1">
      <alignment horizontal="center" vertical="center" wrapText="1"/>
    </xf>
    <xf numFmtId="0" fontId="40" fillId="11" borderId="18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43" fontId="40" fillId="11" borderId="1" xfId="10" applyFont="1" applyFill="1" applyBorder="1" applyAlignment="1">
      <alignment vertical="center"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cat>
            <c:strRef>
              <c:f>PARTICIPATIVO!$E$60:$E$69</c:f>
              <c:strCache>
                <c:ptCount val="10"/>
                <c:pt idx="0">
                  <c:v>Plan Gestión vial</c:v>
                </c:pt>
                <c:pt idx="1">
                  <c:v>Espacio recreativo inclusivo El Remate</c:v>
                </c:pt>
                <c:pt idx="2">
                  <c:v>Ampliación de la plaza central</c:v>
                </c:pt>
                <c:pt idx="3">
                  <c:v>Manejo desechos sólidos y basura</c:v>
                </c:pt>
                <c:pt idx="4">
                  <c:v>Escalinata en Celel </c:v>
                </c:pt>
                <c:pt idx="5">
                  <c:v>Producción y cultivo de Frutas</c:v>
                </c:pt>
                <c:pt idx="6">
                  <c:v>Fortalecimiento de la identidad cultural</c:v>
                </c:pt>
                <c:pt idx="7">
                  <c:v>Mejoramiento y señalización de senderos</c:v>
                </c:pt>
                <c:pt idx="8">
                  <c:v>Servicios varios y limpieza</c:v>
                </c:pt>
                <c:pt idx="9">
                  <c:v>Campañas normas parroquiales y municipales.</c:v>
                </c:pt>
              </c:strCache>
            </c:strRef>
          </c:cat>
          <c:val>
            <c:numRef>
              <c:f>PARTICIPATIVO!$F$60:$F$69</c:f>
              <c:numCache>
                <c:formatCode>_(* #,##0.00_);_(* \(#,##0.00\);_(* "-"??_);_(@_)</c:formatCode>
                <c:ptCount val="10"/>
                <c:pt idx="0">
                  <c:v>54040</c:v>
                </c:pt>
                <c:pt idx="1">
                  <c:v>12000</c:v>
                </c:pt>
                <c:pt idx="2">
                  <c:v>11887.66</c:v>
                </c:pt>
                <c:pt idx="3">
                  <c:v>3000</c:v>
                </c:pt>
                <c:pt idx="4">
                  <c:v>5064.0200000000004</c:v>
                </c:pt>
                <c:pt idx="5">
                  <c:v>5000</c:v>
                </c:pt>
                <c:pt idx="6">
                  <c:v>9000</c:v>
                </c:pt>
                <c:pt idx="7">
                  <c:v>4596.8999999999996</c:v>
                </c:pt>
                <c:pt idx="8">
                  <c:v>5924.3</c:v>
                </c:pt>
                <c:pt idx="9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886640"/>
        <c:axId val="226652136"/>
      </c:barChart>
      <c:catAx>
        <c:axId val="22688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6652136"/>
        <c:crosses val="autoZero"/>
        <c:auto val="1"/>
        <c:lblAlgn val="ctr"/>
        <c:lblOffset val="100"/>
        <c:noMultiLvlLbl val="0"/>
      </c:catAx>
      <c:valAx>
        <c:axId val="226652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2688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TOTAL INGRESOS  $204.416,00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Hoja2!$D$19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Hoja2!$C$20:$C$22</c:f>
              <c:strCache>
                <c:ptCount val="2"/>
                <c:pt idx="0">
                  <c:v>INGRESOS CORRIENTES</c:v>
                </c:pt>
                <c:pt idx="1">
                  <c:v>INGRESOS DE CAPITAL</c:v>
                </c:pt>
              </c:strCache>
            </c:strRef>
          </c:cat>
          <c:val>
            <c:numRef>
              <c:f>Hoja2!$D$20:$D$22</c:f>
              <c:numCache>
                <c:formatCode>_(* #,##0.00_);_(* \(#,##0.00\);_(* "-"??_);_(@_)</c:formatCode>
                <c:ptCount val="3"/>
                <c:pt idx="0">
                  <c:v>64950</c:v>
                </c:pt>
                <c:pt idx="1">
                  <c:v>139466.66666666666</c:v>
                </c:pt>
                <c:pt idx="2">
                  <c:v>117397.57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Hoja2!$E$2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Hoja2!$C$3:$C$4</c:f>
              <c:strCache>
                <c:ptCount val="2"/>
                <c:pt idx="0">
                  <c:v>Gastos corrientes</c:v>
                </c:pt>
                <c:pt idx="1">
                  <c:v>Gasto de inversión </c:v>
                </c:pt>
              </c:strCache>
            </c:strRef>
          </c:cat>
          <c:val>
            <c:numRef>
              <c:f>Hoja2!$E$3:$E$4</c:f>
              <c:numCache>
                <c:formatCode>0.00%</c:formatCode>
                <c:ptCount val="2"/>
                <c:pt idx="0">
                  <c:v>0.19956787482501157</c:v>
                </c:pt>
                <c:pt idx="1">
                  <c:v>0.80043212517498841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175528"/>
        <c:axId val="226975304"/>
      </c:barChart>
      <c:catAx>
        <c:axId val="22617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6975304"/>
        <c:crosses val="autoZero"/>
        <c:auto val="1"/>
        <c:lblAlgn val="ctr"/>
        <c:lblOffset val="100"/>
        <c:noMultiLvlLbl val="0"/>
      </c:catAx>
      <c:valAx>
        <c:axId val="22697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617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GRUPOS</a:t>
            </a:r>
            <a:r>
              <a:rPr lang="en-US" baseline="0"/>
              <a:t> VULNERABLES Y ASESORAMIENTO TECNICO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Hoja2!$C$8:$C$10</c:f>
              <c:strCache>
                <c:ptCount val="3"/>
                <c:pt idx="0">
                  <c:v>Espacios alternativos para atención del adulto mayor.</c:v>
                </c:pt>
                <c:pt idx="1">
                  <c:v>Intercambio de saberes ancestrales yproteccion de derechos de NNA y personas con discapacidad.</c:v>
                </c:pt>
                <c:pt idx="2">
                  <c:v>Actualización de estudios de infraestructura física y normativa parrroquial.</c:v>
                </c:pt>
              </c:strCache>
            </c:strRef>
          </c:cat>
          <c:val>
            <c:numRef>
              <c:f>Hoja2!$D$8:$D$10</c:f>
              <c:numCache>
                <c:formatCode>_(* #,##0.00_);_(* \(#,##0.00\);_(* "-"??_);_(@_)</c:formatCode>
                <c:ptCount val="3"/>
                <c:pt idx="0">
                  <c:v>6000</c:v>
                </c:pt>
                <c:pt idx="1">
                  <c:v>9500</c:v>
                </c:pt>
                <c:pt idx="2">
                  <c:v>13680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052048"/>
        <c:axId val="225052832"/>
      </c:barChart>
      <c:catAx>
        <c:axId val="22505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5052832"/>
        <c:crosses val="autoZero"/>
        <c:auto val="1"/>
        <c:lblAlgn val="ctr"/>
        <c:lblOffset val="100"/>
        <c:noMultiLvlLbl val="0"/>
      </c:catAx>
      <c:valAx>
        <c:axId val="225052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2505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Hoja2!$C$11:$D$17</c:f>
              <c:multiLvlStrCache>
                <c:ptCount val="7"/>
                <c:lvl>
                  <c:pt idx="0">
                    <c:v> 54,040.00 </c:v>
                  </c:pt>
                  <c:pt idx="1">
                    <c:v> 31,951.68 </c:v>
                  </c:pt>
                  <c:pt idx="2">
                    <c:v> 4,596.90 </c:v>
                  </c:pt>
                  <c:pt idx="3">
                    <c:v> 5,000.00 </c:v>
                  </c:pt>
                  <c:pt idx="4">
                    <c:v> 9,000.00 </c:v>
                  </c:pt>
                  <c:pt idx="5">
                    <c:v> 5,924.30 </c:v>
                  </c:pt>
                  <c:pt idx="6">
                    <c:v> 500.00 </c:v>
                  </c:pt>
                </c:lvl>
                <c:lvl>
                  <c:pt idx="0">
                    <c:v>Plan de Gestión para la red víal</c:v>
                  </c:pt>
                  <c:pt idx="1">
                    <c:v>Identificar y Construir equipamientos y mantener espacios públicos.</c:v>
                  </c:pt>
                  <c:pt idx="2">
                    <c:v>Diseño de un proyecto de fortalecimiento para las actividades de turismo comunitario en principal.</c:v>
                  </c:pt>
                  <c:pt idx="3">
                    <c:v>Producción y manejo de frutas para la elaboración de mermeladas.</c:v>
                  </c:pt>
                  <c:pt idx="4">
                    <c:v>Fortalecimiento de la identidad cultural de la parroquia Principal</c:v>
                  </c:pt>
                  <c:pt idx="5">
                    <c:v>Acompañamiento para el fortalecimiento organizativoy fomento de la participación ciudadana en la parroquia Principal.</c:v>
                  </c:pt>
                  <c:pt idx="6">
                    <c:v>Campañas para dar a conocer a la ciudadanía las normas parroquiales y municipales.</c:v>
                  </c:pt>
                </c:lvl>
              </c:multiLvlStrCache>
            </c:multiLvlStrRef>
          </c:cat>
          <c:val>
            <c:numRef>
              <c:f>(Hoja2!$D$11,Hoja2!$D$12:$D$17)</c:f>
              <c:numCache>
                <c:formatCode>_(* #,##0.00_);_(* \(#,##0.00\);_(* "-"??_);_(@_)</c:formatCode>
                <c:ptCount val="7"/>
                <c:pt idx="0">
                  <c:v>54040</c:v>
                </c:pt>
                <c:pt idx="1">
                  <c:v>31951.68</c:v>
                </c:pt>
                <c:pt idx="2">
                  <c:v>4596.8999999999996</c:v>
                </c:pt>
                <c:pt idx="3">
                  <c:v>5000</c:v>
                </c:pt>
                <c:pt idx="4">
                  <c:v>9000</c:v>
                </c:pt>
                <c:pt idx="5">
                  <c:v>5924.3</c:v>
                </c:pt>
                <c:pt idx="6">
                  <c:v>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320744"/>
        <c:axId val="227325448"/>
      </c:barChart>
      <c:catAx>
        <c:axId val="22732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27325448"/>
        <c:crosses val="autoZero"/>
        <c:auto val="1"/>
        <c:lblAlgn val="ctr"/>
        <c:lblOffset val="100"/>
        <c:noMultiLvlLbl val="0"/>
      </c:catAx>
      <c:valAx>
        <c:axId val="227325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27320744"/>
        <c:crosses val="autoZero"/>
        <c:crossBetween val="between"/>
      </c:valAx>
      <c:spPr>
        <a:solidFill>
          <a:srgbClr val="00B050"/>
        </a:solidFill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2279196</xdr:colOff>
      <xdr:row>64</xdr:row>
      <xdr:rowOff>274864</xdr:rowOff>
    </xdr:from>
    <xdr:to>
      <xdr:col>5</xdr:col>
      <xdr:colOff>285750</xdr:colOff>
      <xdr:row>70</xdr:row>
      <xdr:rowOff>160564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742949</xdr:colOff>
      <xdr:row>24</xdr:row>
      <xdr:rowOff>23812</xdr:rowOff>
    </xdr:from>
    <xdr:to>
      <xdr:col>14</xdr:col>
      <xdr:colOff>257174</xdr:colOff>
      <xdr:row>36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376237</xdr:colOff>
      <xdr:row>16</xdr:row>
      <xdr:rowOff>361950</xdr:rowOff>
    </xdr:from>
    <xdr:to>
      <xdr:col>11</xdr:col>
      <xdr:colOff>376237</xdr:colOff>
      <xdr:row>27</xdr:row>
      <xdr:rowOff>61912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490537</xdr:colOff>
      <xdr:row>1</xdr:row>
      <xdr:rowOff>14287</xdr:rowOff>
    </xdr:from>
    <xdr:to>
      <xdr:col>11</xdr:col>
      <xdr:colOff>490537</xdr:colOff>
      <xdr:row>9</xdr:row>
      <xdr:rowOff>61912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452436</xdr:colOff>
      <xdr:row>7</xdr:row>
      <xdr:rowOff>233362</xdr:rowOff>
    </xdr:from>
    <xdr:to>
      <xdr:col>11</xdr:col>
      <xdr:colOff>533399</xdr:colOff>
      <xdr:row>15</xdr:row>
      <xdr:rowOff>352425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107"/>
  <sheetViews>
    <sheetView topLeftCell="A42" zoomScale="140" zoomScaleNormal="140" zoomScaleSheetLayoutView="85" workbookViewId="0">
      <selection activeCell="L57" sqref="L57"/>
    </sheetView>
  </sheetViews>
  <sheetFormatPr baseColWidth="10" defaultRowHeight="14.25" x14ac:dyDescent="0.2"/>
  <cols>
    <col min="1" max="1" width="14.28515625" style="137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1" width="17.140625" style="2" customWidth="1"/>
    <col min="12" max="12" width="18.28515625" style="1" customWidth="1"/>
    <col min="13" max="13" width="12.140625" style="1" customWidth="1"/>
    <col min="14" max="14" width="16.85546875" style="4" bestFit="1" customWidth="1"/>
    <col min="15" max="15" width="16.85546875" style="1" bestFit="1" customWidth="1"/>
    <col min="16" max="16" width="15.5703125" style="1" bestFit="1" customWidth="1"/>
    <col min="17" max="17" width="16.140625" style="1" customWidth="1"/>
    <col min="18" max="18" width="15.5703125" style="1" bestFit="1" customWidth="1"/>
    <col min="19" max="16384" width="11.42578125" style="1"/>
  </cols>
  <sheetData>
    <row r="1" spans="1:18" ht="20.25" x14ac:dyDescent="0.4">
      <c r="A1" s="425" t="s">
        <v>224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8" ht="18.75" x14ac:dyDescent="0.4">
      <c r="A2" s="426"/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8" ht="18.75" x14ac:dyDescent="0.4">
      <c r="A3" s="426" t="s">
        <v>461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8" ht="15" x14ac:dyDescent="0.25">
      <c r="B4" s="145"/>
      <c r="C4" s="146"/>
      <c r="D4" s="146"/>
      <c r="E4" s="146"/>
      <c r="F4" s="146"/>
      <c r="G4" s="146"/>
      <c r="H4" s="146"/>
      <c r="I4" s="146"/>
      <c r="J4" s="146"/>
      <c r="K4" s="146"/>
    </row>
    <row r="5" spans="1:18" ht="63" x14ac:dyDescent="0.2">
      <c r="A5" s="313" t="s">
        <v>220</v>
      </c>
      <c r="B5" s="314" t="s">
        <v>18</v>
      </c>
      <c r="C5" s="314" t="s">
        <v>17</v>
      </c>
      <c r="D5" s="314" t="s">
        <v>16</v>
      </c>
      <c r="E5" s="314" t="s">
        <v>15</v>
      </c>
      <c r="F5" s="314">
        <v>2012</v>
      </c>
      <c r="G5" s="314">
        <v>2013</v>
      </c>
      <c r="H5" s="314">
        <v>2014</v>
      </c>
      <c r="I5" s="314">
        <v>2015</v>
      </c>
      <c r="J5" s="314">
        <v>2016</v>
      </c>
      <c r="K5" s="314" t="s">
        <v>445</v>
      </c>
      <c r="L5" s="374" t="s">
        <v>462</v>
      </c>
    </row>
    <row r="6" spans="1:18" s="8" customFormat="1" ht="15.75" x14ac:dyDescent="0.25">
      <c r="A6" s="315">
        <v>1</v>
      </c>
      <c r="B6" s="153" t="s">
        <v>14</v>
      </c>
      <c r="C6" s="154" t="e">
        <f>+C8+C12+#REF!+C17+C22+C26</f>
        <v>#REF!</v>
      </c>
      <c r="D6" s="154" t="e">
        <f>+D8+D12+#REF!+D17+D22+D26</f>
        <v>#REF!</v>
      </c>
      <c r="E6" s="154" t="e">
        <f>+E8+E12+#REF!+E17+E22+E26</f>
        <v>#REF!</v>
      </c>
      <c r="F6" s="154"/>
      <c r="G6" s="154"/>
      <c r="H6" s="154"/>
      <c r="I6" s="154"/>
      <c r="J6" s="154"/>
      <c r="K6" s="154">
        <f>+K22+K26</f>
        <v>57588.926666666666</v>
      </c>
      <c r="L6" s="375">
        <f>+L22+L26</f>
        <v>64950</v>
      </c>
      <c r="N6" s="9"/>
    </row>
    <row r="7" spans="1:18" s="8" customFormat="1" ht="15.75" hidden="1" x14ac:dyDescent="0.25">
      <c r="A7" s="315"/>
      <c r="B7" s="153" t="s">
        <v>168</v>
      </c>
      <c r="C7" s="154"/>
      <c r="D7" s="154"/>
      <c r="E7" s="154"/>
      <c r="F7" s="154">
        <f>+F22+F26</f>
        <v>45717.89</v>
      </c>
      <c r="G7" s="154">
        <f>+G22+G26</f>
        <v>47241.82</v>
      </c>
      <c r="H7" s="154">
        <f>+H22+H26</f>
        <v>59296.86</v>
      </c>
      <c r="I7" s="154">
        <f>+I22+I26</f>
        <v>53114.450000000004</v>
      </c>
      <c r="J7" s="154"/>
      <c r="K7" s="154">
        <f>+K22+K26</f>
        <v>57588.926666666666</v>
      </c>
      <c r="L7" s="376"/>
      <c r="N7" s="9"/>
    </row>
    <row r="8" spans="1:18" s="7" customFormat="1" ht="15.75" hidden="1" x14ac:dyDescent="0.25">
      <c r="A8" s="316" t="s">
        <v>148</v>
      </c>
      <c r="B8" s="155" t="s">
        <v>169</v>
      </c>
      <c r="C8" s="156" t="e">
        <f>+#REF!+C9+#REF!+#REF!</f>
        <v>#REF!</v>
      </c>
      <c r="D8" s="156" t="e">
        <f>+#REF!+D9+#REF!+#REF!</f>
        <v>#REF!</v>
      </c>
      <c r="E8" s="156" t="e">
        <f>+#REF!+E9+#REF!+#REF!</f>
        <v>#REF!</v>
      </c>
      <c r="F8" s="156"/>
      <c r="G8" s="156"/>
      <c r="H8" s="156"/>
      <c r="I8" s="156"/>
      <c r="J8" s="156"/>
      <c r="K8" s="156">
        <f>K9</f>
        <v>0</v>
      </c>
      <c r="L8" s="377"/>
      <c r="N8" s="10"/>
    </row>
    <row r="9" spans="1:18" ht="14.25" hidden="1" customHeight="1" x14ac:dyDescent="0.25">
      <c r="A9" s="317" t="s">
        <v>149</v>
      </c>
      <c r="B9" s="157" t="s">
        <v>13</v>
      </c>
      <c r="C9" s="158" t="e">
        <f>+C10+C11+#REF!+#REF!+#REF!+#REF!</f>
        <v>#REF!</v>
      </c>
      <c r="D9" s="158" t="e">
        <f>+D10+D11+#REF!+#REF!+#REF!+#REF!</f>
        <v>#REF!</v>
      </c>
      <c r="E9" s="158" t="e">
        <f>+E10+E11+#REF!+#REF!+#REF!+#REF!</f>
        <v>#REF!</v>
      </c>
      <c r="F9" s="158"/>
      <c r="G9" s="158"/>
      <c r="H9" s="158"/>
      <c r="I9" s="158"/>
      <c r="J9" s="158"/>
      <c r="K9" s="158">
        <f>+K10+K11</f>
        <v>0</v>
      </c>
      <c r="L9" s="378"/>
    </row>
    <row r="10" spans="1:18" ht="14.25" hidden="1" customHeight="1" x14ac:dyDescent="0.2">
      <c r="A10" s="318" t="s">
        <v>150</v>
      </c>
      <c r="B10" s="159" t="s">
        <v>12</v>
      </c>
      <c r="C10" s="160">
        <v>990.52</v>
      </c>
      <c r="D10" s="160">
        <v>909.36</v>
      </c>
      <c r="E10" s="160">
        <v>1110.95</v>
      </c>
      <c r="F10" s="160"/>
      <c r="G10" s="160"/>
      <c r="H10" s="160"/>
      <c r="I10" s="160"/>
      <c r="J10" s="160"/>
      <c r="K10" s="160">
        <v>0</v>
      </c>
      <c r="L10" s="378"/>
    </row>
    <row r="11" spans="1:18" ht="14.25" hidden="1" customHeight="1" x14ac:dyDescent="0.2">
      <c r="A11" s="318" t="s">
        <v>151</v>
      </c>
      <c r="B11" s="159" t="s">
        <v>11</v>
      </c>
      <c r="C11" s="160">
        <v>1614.24</v>
      </c>
      <c r="D11" s="160">
        <v>2922.92</v>
      </c>
      <c r="E11" s="160">
        <v>2398.46</v>
      </c>
      <c r="F11" s="160"/>
      <c r="G11" s="160"/>
      <c r="H11" s="160"/>
      <c r="I11" s="160"/>
      <c r="J11" s="160"/>
      <c r="K11" s="160">
        <v>0</v>
      </c>
      <c r="L11" s="378"/>
    </row>
    <row r="12" spans="1:18" s="7" customFormat="1" ht="15.75" hidden="1" x14ac:dyDescent="0.25">
      <c r="A12" s="316" t="s">
        <v>152</v>
      </c>
      <c r="B12" s="155" t="s">
        <v>170</v>
      </c>
      <c r="C12" s="156" t="e">
        <f>+C13+#REF!</f>
        <v>#REF!</v>
      </c>
      <c r="D12" s="156" t="e">
        <f>+D13+#REF!</f>
        <v>#REF!</v>
      </c>
      <c r="E12" s="156" t="e">
        <f>+E13+#REF!</f>
        <v>#REF!</v>
      </c>
      <c r="F12" s="156"/>
      <c r="G12" s="156"/>
      <c r="H12" s="156"/>
      <c r="I12" s="156"/>
      <c r="J12" s="156"/>
      <c r="K12" s="156">
        <f>+K13</f>
        <v>0</v>
      </c>
      <c r="L12" s="377"/>
      <c r="N12" s="10"/>
    </row>
    <row r="13" spans="1:18" ht="15.75" hidden="1" x14ac:dyDescent="0.25">
      <c r="A13" s="319" t="s">
        <v>153</v>
      </c>
      <c r="B13" s="157" t="s">
        <v>10</v>
      </c>
      <c r="C13" s="160" t="e">
        <f>+C14+#REF!+#REF!+#REF!+#REF!+#REF!+#REF!+#REF!+#REF!</f>
        <v>#REF!</v>
      </c>
      <c r="D13" s="160" t="e">
        <f>+D14+#REF!+#REF!+#REF!+#REF!+#REF!+#REF!+#REF!+#REF!</f>
        <v>#REF!</v>
      </c>
      <c r="E13" s="160" t="e">
        <f>+E14+#REF!+#REF!+#REF!+#REF!+#REF!+#REF!+#REF!+#REF!</f>
        <v>#REF!</v>
      </c>
      <c r="F13" s="160"/>
      <c r="G13" s="160"/>
      <c r="H13" s="160"/>
      <c r="I13" s="160"/>
      <c r="J13" s="160"/>
      <c r="K13" s="158">
        <f>+K14+K15</f>
        <v>0</v>
      </c>
      <c r="L13" s="378"/>
    </row>
    <row r="14" spans="1:18" ht="15" hidden="1" x14ac:dyDescent="0.2">
      <c r="A14" s="310" t="s">
        <v>154</v>
      </c>
      <c r="B14" s="159" t="s">
        <v>171</v>
      </c>
      <c r="C14" s="160">
        <v>115</v>
      </c>
      <c r="D14" s="160">
        <v>92</v>
      </c>
      <c r="E14" s="160">
        <v>5</v>
      </c>
      <c r="F14" s="160">
        <v>0</v>
      </c>
      <c r="G14" s="160">
        <v>0</v>
      </c>
      <c r="H14" s="160">
        <v>0</v>
      </c>
      <c r="I14" s="160">
        <v>0</v>
      </c>
      <c r="J14" s="160"/>
      <c r="K14" s="160">
        <v>0</v>
      </c>
      <c r="L14" s="378"/>
      <c r="N14" s="1"/>
    </row>
    <row r="15" spans="1:18" ht="15" hidden="1" x14ac:dyDescent="0.2">
      <c r="A15" s="310" t="s">
        <v>172</v>
      </c>
      <c r="B15" s="159" t="s">
        <v>77</v>
      </c>
      <c r="C15" s="160">
        <v>361.21</v>
      </c>
      <c r="D15" s="160">
        <v>299.95</v>
      </c>
      <c r="E15" s="160">
        <v>444.58</v>
      </c>
      <c r="F15" s="160"/>
      <c r="G15" s="160"/>
      <c r="H15" s="160"/>
      <c r="I15" s="160"/>
      <c r="J15" s="160"/>
      <c r="K15" s="160">
        <v>0</v>
      </c>
      <c r="L15" s="378"/>
      <c r="M15" s="147"/>
      <c r="N15" s="148"/>
      <c r="O15" s="149"/>
      <c r="P15" s="149"/>
      <c r="Q15" s="149"/>
      <c r="R15" s="149"/>
    </row>
    <row r="16" spans="1:18" ht="15.75" x14ac:dyDescent="0.25">
      <c r="A16" s="310"/>
      <c r="B16" s="153" t="s">
        <v>173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378"/>
      <c r="M16" s="147"/>
      <c r="N16" s="148"/>
      <c r="O16" s="149"/>
      <c r="P16" s="149"/>
      <c r="Q16" s="149"/>
      <c r="R16" s="149"/>
    </row>
    <row r="17" spans="1:15" s="7" customFormat="1" ht="15.75" hidden="1" x14ac:dyDescent="0.25">
      <c r="A17" s="316" t="s">
        <v>155</v>
      </c>
      <c r="B17" s="155" t="s">
        <v>174</v>
      </c>
      <c r="C17" s="156" t="e">
        <f>+#REF!+C20+#REF!+#REF!</f>
        <v>#REF!</v>
      </c>
      <c r="D17" s="156" t="e">
        <f>+#REF!+D20+#REF!+#REF!</f>
        <v>#REF!</v>
      </c>
      <c r="E17" s="156" t="e">
        <f>+#REF!+E20+#REF!+#REF!</f>
        <v>#REF!</v>
      </c>
      <c r="F17" s="156"/>
      <c r="G17" s="156"/>
      <c r="H17" s="156"/>
      <c r="I17" s="156"/>
      <c r="J17" s="156"/>
      <c r="K17" s="156">
        <f>K18+K20</f>
        <v>0</v>
      </c>
      <c r="L17" s="377"/>
      <c r="N17" s="10"/>
    </row>
    <row r="18" spans="1:15" s="7" customFormat="1" ht="15.75" hidden="1" x14ac:dyDescent="0.25">
      <c r="A18" s="319" t="s">
        <v>175</v>
      </c>
      <c r="B18" s="157" t="s">
        <v>176</v>
      </c>
      <c r="C18" s="156"/>
      <c r="D18" s="156"/>
      <c r="E18" s="156"/>
      <c r="F18" s="156"/>
      <c r="G18" s="156"/>
      <c r="H18" s="156"/>
      <c r="I18" s="156"/>
      <c r="J18" s="156"/>
      <c r="K18" s="158">
        <f>K19</f>
        <v>0</v>
      </c>
      <c r="L18" s="377"/>
      <c r="N18" s="10"/>
    </row>
    <row r="19" spans="1:15" s="7" customFormat="1" ht="15.75" hidden="1" x14ac:dyDescent="0.25">
      <c r="A19" s="310" t="s">
        <v>177</v>
      </c>
      <c r="B19" s="159" t="s">
        <v>178</v>
      </c>
      <c r="C19" s="156"/>
      <c r="D19" s="156"/>
      <c r="E19" s="156"/>
      <c r="F19" s="156">
        <v>0</v>
      </c>
      <c r="G19" s="156">
        <v>0</v>
      </c>
      <c r="H19" s="156">
        <v>0</v>
      </c>
      <c r="I19" s="156">
        <v>0</v>
      </c>
      <c r="J19" s="156"/>
      <c r="K19" s="160">
        <v>0</v>
      </c>
      <c r="L19" s="377"/>
      <c r="N19" s="10"/>
    </row>
    <row r="20" spans="1:15" s="2" customFormat="1" ht="15.75" hidden="1" x14ac:dyDescent="0.25">
      <c r="A20" s="319" t="s">
        <v>156</v>
      </c>
      <c r="B20" s="157" t="s">
        <v>9</v>
      </c>
      <c r="C20" s="158" t="e">
        <f>+#REF!+#REF!+C21</f>
        <v>#REF!</v>
      </c>
      <c r="D20" s="158" t="e">
        <f>+#REF!+#REF!+D21</f>
        <v>#REF!</v>
      </c>
      <c r="E20" s="158" t="e">
        <f>+#REF!+#REF!+E21</f>
        <v>#REF!</v>
      </c>
      <c r="F20" s="158"/>
      <c r="G20" s="158"/>
      <c r="H20" s="158"/>
      <c r="I20" s="158"/>
      <c r="J20" s="158"/>
      <c r="K20" s="158">
        <f>K21</f>
        <v>0</v>
      </c>
      <c r="L20" s="379"/>
      <c r="M20" s="11"/>
      <c r="N20" s="11"/>
      <c r="O20" s="11"/>
    </row>
    <row r="21" spans="1:15" ht="15" hidden="1" x14ac:dyDescent="0.2">
      <c r="A21" s="310" t="s">
        <v>157</v>
      </c>
      <c r="B21" s="159" t="s">
        <v>8</v>
      </c>
      <c r="C21" s="160" t="e">
        <f>SUM(#REF!)</f>
        <v>#REF!</v>
      </c>
      <c r="D21" s="160" t="e">
        <f>SUM(#REF!)</f>
        <v>#REF!</v>
      </c>
      <c r="E21" s="160" t="e">
        <f>SUM(#REF!)</f>
        <v>#REF!</v>
      </c>
      <c r="F21" s="160"/>
      <c r="G21" s="160"/>
      <c r="H21" s="160"/>
      <c r="I21" s="160"/>
      <c r="J21" s="160"/>
      <c r="K21" s="160">
        <v>0</v>
      </c>
      <c r="L21" s="378"/>
    </row>
    <row r="22" spans="1:15" s="7" customFormat="1" ht="31.5" x14ac:dyDescent="0.25">
      <c r="A22" s="316">
        <v>1.8</v>
      </c>
      <c r="B22" s="155" t="s">
        <v>179</v>
      </c>
      <c r="C22" s="156" t="e">
        <f>+C25+#REF!+#REF!</f>
        <v>#REF!</v>
      </c>
      <c r="D22" s="156" t="e">
        <f>+D25</f>
        <v>#REF!</v>
      </c>
      <c r="E22" s="156" t="e">
        <f>+E25</f>
        <v>#REF!</v>
      </c>
      <c r="F22" s="156">
        <f t="shared" ref="F22:L22" si="0">+F23</f>
        <v>45336.68</v>
      </c>
      <c r="G22" s="156">
        <f t="shared" si="0"/>
        <v>46860.61</v>
      </c>
      <c r="H22" s="156">
        <f t="shared" si="0"/>
        <v>55770.31</v>
      </c>
      <c r="I22" s="156">
        <f t="shared" si="0"/>
        <v>51540.54</v>
      </c>
      <c r="J22" s="156">
        <f t="shared" si="0"/>
        <v>54045.15</v>
      </c>
      <c r="K22" s="156">
        <f t="shared" si="0"/>
        <v>56439.996666666666</v>
      </c>
      <c r="L22" s="380">
        <f t="shared" si="0"/>
        <v>63750</v>
      </c>
      <c r="N22" s="10"/>
    </row>
    <row r="23" spans="1:15" s="7" customFormat="1" ht="31.5" x14ac:dyDescent="0.25">
      <c r="A23" s="319" t="s">
        <v>189</v>
      </c>
      <c r="B23" s="157" t="s">
        <v>190</v>
      </c>
      <c r="C23" s="156"/>
      <c r="D23" s="156"/>
      <c r="E23" s="156"/>
      <c r="F23" s="158">
        <f t="shared" ref="F23:L23" si="1">+F24+F25</f>
        <v>45336.68</v>
      </c>
      <c r="G23" s="158">
        <f t="shared" si="1"/>
        <v>46860.61</v>
      </c>
      <c r="H23" s="158">
        <f t="shared" si="1"/>
        <v>55770.31</v>
      </c>
      <c r="I23" s="158">
        <f t="shared" si="1"/>
        <v>51540.54</v>
      </c>
      <c r="J23" s="158">
        <f t="shared" si="1"/>
        <v>54045.15</v>
      </c>
      <c r="K23" s="158">
        <f t="shared" si="1"/>
        <v>56439.996666666666</v>
      </c>
      <c r="L23" s="381">
        <f t="shared" si="1"/>
        <v>63750</v>
      </c>
      <c r="N23" s="10"/>
    </row>
    <row r="24" spans="1:15" s="7" customFormat="1" ht="15.75" x14ac:dyDescent="0.25">
      <c r="A24" s="310" t="s">
        <v>228</v>
      </c>
      <c r="B24" s="159" t="s">
        <v>229</v>
      </c>
      <c r="C24" s="156"/>
      <c r="D24" s="156"/>
      <c r="E24" s="156"/>
      <c r="F24" s="160"/>
      <c r="G24" s="160"/>
      <c r="H24" s="160"/>
      <c r="I24" s="160"/>
      <c r="J24" s="160"/>
      <c r="K24" s="160">
        <v>0</v>
      </c>
      <c r="L24" s="382"/>
      <c r="N24" s="10"/>
    </row>
    <row r="25" spans="1:15" s="2" customFormat="1" ht="16.5" customHeight="1" x14ac:dyDescent="0.2">
      <c r="A25" s="310" t="s">
        <v>180</v>
      </c>
      <c r="B25" s="159" t="s">
        <v>181</v>
      </c>
      <c r="C25" s="160" t="e">
        <f>+#REF!</f>
        <v>#REF!</v>
      </c>
      <c r="D25" s="160" t="e">
        <f>+#REF!+#REF!</f>
        <v>#REF!</v>
      </c>
      <c r="E25" s="160" t="e">
        <f>+#REF!+#REF!</f>
        <v>#REF!</v>
      </c>
      <c r="F25" s="160">
        <v>45336.68</v>
      </c>
      <c r="G25" s="160">
        <v>46860.61</v>
      </c>
      <c r="H25" s="160">
        <v>55770.31</v>
      </c>
      <c r="I25" s="160">
        <v>51540.54</v>
      </c>
      <c r="J25" s="160">
        <v>54045.15</v>
      </c>
      <c r="K25" s="160">
        <f>+(((J25-I25)+(I25-H25)+(H25-G25))/3)+J25</f>
        <v>56439.996666666666</v>
      </c>
      <c r="L25" s="383">
        <v>63750</v>
      </c>
      <c r="M25" s="5"/>
      <c r="N25" s="11"/>
    </row>
    <row r="26" spans="1:15" s="7" customFormat="1" ht="15.75" x14ac:dyDescent="0.25">
      <c r="A26" s="316">
        <v>1.9</v>
      </c>
      <c r="B26" s="155" t="s">
        <v>182</v>
      </c>
      <c r="C26" s="156" t="e">
        <f>+#REF!</f>
        <v>#REF!</v>
      </c>
      <c r="D26" s="156" t="e">
        <f>+#REF!</f>
        <v>#REF!</v>
      </c>
      <c r="E26" s="156" t="e">
        <f>+#REF!</f>
        <v>#REF!</v>
      </c>
      <c r="F26" s="156">
        <f t="shared" ref="F26:H27" si="2">+F27</f>
        <v>381.21</v>
      </c>
      <c r="G26" s="156">
        <f t="shared" si="2"/>
        <v>381.21</v>
      </c>
      <c r="H26" s="156">
        <f t="shared" si="2"/>
        <v>3526.55</v>
      </c>
      <c r="I26" s="156">
        <f t="shared" ref="I26:L27" si="3">+I27</f>
        <v>1573.91</v>
      </c>
      <c r="J26" s="156">
        <f t="shared" si="3"/>
        <v>957</v>
      </c>
      <c r="K26" s="156">
        <f t="shared" si="3"/>
        <v>1148.93</v>
      </c>
      <c r="L26" s="380">
        <f t="shared" si="3"/>
        <v>1200</v>
      </c>
      <c r="M26" s="210"/>
      <c r="N26" s="10"/>
    </row>
    <row r="27" spans="1:15" s="3" customFormat="1" ht="15.75" x14ac:dyDescent="0.25">
      <c r="A27" s="319" t="s">
        <v>158</v>
      </c>
      <c r="B27" s="157" t="s">
        <v>446</v>
      </c>
      <c r="C27" s="158">
        <f>+C28</f>
        <v>1401.77</v>
      </c>
      <c r="D27" s="158">
        <f>+D28</f>
        <v>365.16</v>
      </c>
      <c r="E27" s="158">
        <f>+E28</f>
        <v>25818.79</v>
      </c>
      <c r="F27" s="158">
        <f t="shared" si="2"/>
        <v>381.21</v>
      </c>
      <c r="G27" s="158">
        <f t="shared" si="2"/>
        <v>381.21</v>
      </c>
      <c r="H27" s="158">
        <f t="shared" si="2"/>
        <v>3526.55</v>
      </c>
      <c r="I27" s="158">
        <f t="shared" si="3"/>
        <v>1573.91</v>
      </c>
      <c r="J27" s="158">
        <f t="shared" si="3"/>
        <v>957</v>
      </c>
      <c r="K27" s="158">
        <f t="shared" si="3"/>
        <v>1148.93</v>
      </c>
      <c r="L27" s="381">
        <f t="shared" si="3"/>
        <v>1200</v>
      </c>
      <c r="M27" s="427"/>
      <c r="N27" s="427"/>
    </row>
    <row r="28" spans="1:15" ht="15" x14ac:dyDescent="0.2">
      <c r="A28" s="310" t="s">
        <v>159</v>
      </c>
      <c r="B28" s="159" t="s">
        <v>6</v>
      </c>
      <c r="C28" s="160">
        <v>1401.77</v>
      </c>
      <c r="D28" s="160">
        <v>365.16</v>
      </c>
      <c r="E28" s="160">
        <v>25818.79</v>
      </c>
      <c r="F28" s="160">
        <v>381.21</v>
      </c>
      <c r="G28" s="160">
        <v>381.21</v>
      </c>
      <c r="H28" s="160">
        <v>3526.55</v>
      </c>
      <c r="I28" s="160">
        <v>1573.91</v>
      </c>
      <c r="J28" s="160">
        <v>957</v>
      </c>
      <c r="K28" s="160">
        <f>+(((J28-I28)+(I28-H28)+(H28-G28))/3)+J28</f>
        <v>1148.93</v>
      </c>
      <c r="L28" s="383">
        <v>1200</v>
      </c>
      <c r="M28" s="5"/>
      <c r="N28" s="11"/>
    </row>
    <row r="29" spans="1:15" s="2" customFormat="1" ht="15.75" x14ac:dyDescent="0.25">
      <c r="A29" s="315">
        <v>2</v>
      </c>
      <c r="B29" s="153" t="s">
        <v>5</v>
      </c>
      <c r="C29" s="160"/>
      <c r="D29" s="160"/>
      <c r="E29" s="160"/>
      <c r="F29" s="154">
        <f>+F30+F36</f>
        <v>136308.94</v>
      </c>
      <c r="G29" s="154">
        <f>+G30+G36</f>
        <v>114841.42</v>
      </c>
      <c r="H29" s="154">
        <f>+H30+H36</f>
        <v>142040.78</v>
      </c>
      <c r="I29" s="154">
        <f>+I30+I36</f>
        <v>201527.31</v>
      </c>
      <c r="J29" s="154">
        <f>+J30+J36</f>
        <v>134314.5</v>
      </c>
      <c r="K29" s="154">
        <f>+K30+K36+K43+K48</f>
        <v>140805.52666666667</v>
      </c>
      <c r="L29" s="375">
        <f>+L30</f>
        <v>139466.66666666666</v>
      </c>
      <c r="M29" s="5"/>
      <c r="N29" s="11"/>
    </row>
    <row r="30" spans="1:15" s="2" customFormat="1" ht="31.5" x14ac:dyDescent="0.25">
      <c r="A30" s="316">
        <v>2.8</v>
      </c>
      <c r="B30" s="155" t="s">
        <v>183</v>
      </c>
      <c r="C30" s="160"/>
      <c r="D30" s="160"/>
      <c r="E30" s="160"/>
      <c r="F30" s="156">
        <f t="shared" ref="F30:I30" si="4">+F31+F34</f>
        <v>136308.94</v>
      </c>
      <c r="G30" s="156">
        <f t="shared" si="4"/>
        <v>114841.42</v>
      </c>
      <c r="H30" s="156">
        <f t="shared" si="4"/>
        <v>142040.78</v>
      </c>
      <c r="I30" s="156">
        <f t="shared" si="4"/>
        <v>201527.31</v>
      </c>
      <c r="J30" s="156">
        <f>+J31+J34+J39</f>
        <v>134314.5</v>
      </c>
      <c r="K30" s="156">
        <f t="shared" ref="K30:L30" si="5">+K31+K34+K39</f>
        <v>140805.52666666667</v>
      </c>
      <c r="L30" s="380">
        <f t="shared" si="5"/>
        <v>139466.66666666666</v>
      </c>
      <c r="M30" s="5"/>
      <c r="N30" s="11"/>
    </row>
    <row r="31" spans="1:15" s="2" customFormat="1" ht="31.5" x14ac:dyDescent="0.25">
      <c r="A31" s="319" t="s">
        <v>160</v>
      </c>
      <c r="B31" s="157" t="s">
        <v>161</v>
      </c>
      <c r="C31" s="160"/>
      <c r="D31" s="160"/>
      <c r="E31" s="160"/>
      <c r="F31" s="158">
        <f>+F33</f>
        <v>30500</v>
      </c>
      <c r="G31" s="158">
        <f>+G33</f>
        <v>5500</v>
      </c>
      <c r="H31" s="158">
        <f>+H33</f>
        <v>30500</v>
      </c>
      <c r="I31" s="158">
        <f>+I32+I33</f>
        <v>116572.6</v>
      </c>
      <c r="J31" s="158">
        <f>+J33</f>
        <v>41914.339999999997</v>
      </c>
      <c r="K31" s="158">
        <f>SUM(K32:K33)</f>
        <v>54052.453333333331</v>
      </c>
      <c r="L31" s="381">
        <f>SUM(L32:L33)</f>
        <v>42000</v>
      </c>
      <c r="M31" s="5"/>
      <c r="N31" s="11"/>
    </row>
    <row r="32" spans="1:15" s="2" customFormat="1" ht="15" x14ac:dyDescent="0.2">
      <c r="A32" s="310" t="s">
        <v>342</v>
      </c>
      <c r="B32" s="159" t="s">
        <v>343</v>
      </c>
      <c r="C32" s="160"/>
      <c r="D32" s="160"/>
      <c r="E32" s="160"/>
      <c r="F32" s="160"/>
      <c r="G32" s="160"/>
      <c r="H32" s="160">
        <v>22243.8</v>
      </c>
      <c r="I32" s="160">
        <v>31903.8</v>
      </c>
      <c r="J32" s="160">
        <v>0</v>
      </c>
      <c r="K32" s="160">
        <f>+(J32-I32)+(I32-H32)+(H32-G32)+J32</f>
        <v>0</v>
      </c>
      <c r="L32" s="383"/>
      <c r="M32" s="5"/>
      <c r="N32" s="11"/>
    </row>
    <row r="33" spans="1:14" s="2" customFormat="1" ht="15" x14ac:dyDescent="0.2">
      <c r="A33" s="310" t="s">
        <v>185</v>
      </c>
      <c r="B33" s="159" t="s">
        <v>447</v>
      </c>
      <c r="C33" s="160"/>
      <c r="D33" s="160"/>
      <c r="E33" s="160"/>
      <c r="F33" s="160">
        <f>500+30000</f>
        <v>30500</v>
      </c>
      <c r="G33" s="160">
        <v>5500</v>
      </c>
      <c r="H33" s="160">
        <v>30500</v>
      </c>
      <c r="I33" s="160">
        <v>84668.800000000003</v>
      </c>
      <c r="J33" s="160">
        <v>41914.339999999997</v>
      </c>
      <c r="K33" s="160">
        <f>+(((J33-I33)+(I33-H33)+(H33-G33))/3)+J33</f>
        <v>54052.453333333331</v>
      </c>
      <c r="L33" s="384">
        <v>42000</v>
      </c>
      <c r="M33" s="5"/>
      <c r="N33" s="11"/>
    </row>
    <row r="34" spans="1:14" s="2" customFormat="1" ht="15.75" customHeight="1" x14ac:dyDescent="0.25">
      <c r="A34" s="319" t="s">
        <v>162</v>
      </c>
      <c r="B34" s="157" t="s">
        <v>163</v>
      </c>
      <c r="C34" s="160"/>
      <c r="D34" s="160"/>
      <c r="E34" s="160"/>
      <c r="F34" s="158">
        <f t="shared" ref="F34:L34" si="6">+F35</f>
        <v>105808.94</v>
      </c>
      <c r="G34" s="158">
        <f t="shared" si="6"/>
        <v>109341.42</v>
      </c>
      <c r="H34" s="158">
        <f t="shared" si="6"/>
        <v>111540.78</v>
      </c>
      <c r="I34" s="158">
        <f t="shared" si="6"/>
        <v>84954.71</v>
      </c>
      <c r="J34" s="158">
        <f t="shared" si="6"/>
        <v>86800.16</v>
      </c>
      <c r="K34" s="158">
        <f t="shared" si="6"/>
        <v>79286.406666666677</v>
      </c>
      <c r="L34" s="381">
        <f t="shared" si="6"/>
        <v>90000</v>
      </c>
      <c r="M34" s="5"/>
      <c r="N34" s="11"/>
    </row>
    <row r="35" spans="1:14" s="2" customFormat="1" ht="15.75" customHeight="1" x14ac:dyDescent="0.2">
      <c r="A35" s="310" t="s">
        <v>184</v>
      </c>
      <c r="B35" s="159" t="s">
        <v>181</v>
      </c>
      <c r="C35" s="160"/>
      <c r="D35" s="160"/>
      <c r="E35" s="160"/>
      <c r="F35" s="160">
        <v>105808.94</v>
      </c>
      <c r="G35" s="160">
        <v>109341.42</v>
      </c>
      <c r="H35" s="160">
        <v>111540.78</v>
      </c>
      <c r="I35" s="160">
        <v>84954.71</v>
      </c>
      <c r="J35" s="160">
        <v>86800.16</v>
      </c>
      <c r="K35" s="160">
        <f>+(((J35-I35)+(I35-H35)+(H35-G35))/3)+J35</f>
        <v>79286.406666666677</v>
      </c>
      <c r="L35" s="384">
        <v>90000</v>
      </c>
      <c r="M35" s="5"/>
      <c r="N35" s="11"/>
    </row>
    <row r="36" spans="1:14" ht="15.75" customHeight="1" x14ac:dyDescent="0.25">
      <c r="A36" s="316">
        <v>2.8</v>
      </c>
      <c r="B36" s="155" t="s">
        <v>191</v>
      </c>
      <c r="C36" s="160"/>
      <c r="D36" s="160"/>
      <c r="E36" s="160"/>
      <c r="F36" s="160"/>
      <c r="G36" s="160"/>
      <c r="H36" s="160"/>
      <c r="I36" s="160"/>
      <c r="J36" s="160"/>
      <c r="K36" s="160"/>
      <c r="L36" s="385"/>
      <c r="M36" s="2"/>
      <c r="N36" s="11"/>
    </row>
    <row r="37" spans="1:14" ht="16.5" customHeight="1" x14ac:dyDescent="0.25">
      <c r="A37" s="319" t="s">
        <v>187</v>
      </c>
      <c r="B37" s="157" t="s">
        <v>188</v>
      </c>
      <c r="C37" s="160"/>
      <c r="D37" s="160"/>
      <c r="E37" s="160"/>
      <c r="F37" s="160"/>
      <c r="G37" s="160"/>
      <c r="H37" s="160"/>
      <c r="I37" s="160"/>
      <c r="J37" s="160"/>
      <c r="K37" s="160"/>
      <c r="L37" s="385"/>
      <c r="M37" s="2"/>
      <c r="N37" s="11"/>
    </row>
    <row r="38" spans="1:14" ht="16.5" customHeight="1" x14ac:dyDescent="0.2">
      <c r="A38" s="310" t="s">
        <v>186</v>
      </c>
      <c r="B38" s="159" t="s">
        <v>4</v>
      </c>
      <c r="C38" s="160"/>
      <c r="D38" s="160"/>
      <c r="E38" s="160"/>
      <c r="F38" s="160"/>
      <c r="G38" s="160"/>
      <c r="H38" s="160"/>
      <c r="I38" s="160"/>
      <c r="J38" s="160"/>
      <c r="K38" s="160">
        <v>0</v>
      </c>
      <c r="L38" s="385"/>
      <c r="M38" s="2"/>
      <c r="N38" s="11"/>
    </row>
    <row r="39" spans="1:14" ht="31.5" customHeight="1" x14ac:dyDescent="0.2">
      <c r="A39" s="310" t="s">
        <v>448</v>
      </c>
      <c r="B39" s="311" t="s">
        <v>449</v>
      </c>
      <c r="C39" s="160"/>
      <c r="D39" s="160"/>
      <c r="E39" s="160"/>
      <c r="F39" s="160"/>
      <c r="G39" s="160"/>
      <c r="H39" s="160"/>
      <c r="I39" s="160"/>
      <c r="J39" s="160">
        <f>+J40</f>
        <v>5600</v>
      </c>
      <c r="K39" s="160">
        <f t="shared" ref="K39:L39" si="7">+K40</f>
        <v>7466.666666666667</v>
      </c>
      <c r="L39" s="383">
        <f t="shared" si="7"/>
        <v>7466.666666666667</v>
      </c>
      <c r="M39" s="2"/>
      <c r="N39" s="11"/>
    </row>
    <row r="40" spans="1:14" ht="31.5" customHeight="1" x14ac:dyDescent="0.25">
      <c r="A40" s="310" t="s">
        <v>451</v>
      </c>
      <c r="B40" s="312" t="s">
        <v>450</v>
      </c>
      <c r="C40" s="160"/>
      <c r="D40" s="160"/>
      <c r="E40" s="160"/>
      <c r="F40" s="160"/>
      <c r="G40" s="160"/>
      <c r="H40" s="160"/>
      <c r="I40" s="160"/>
      <c r="J40" s="160">
        <v>5600</v>
      </c>
      <c r="K40" s="160">
        <f>+(((J40-I40)+(I40-H40)+(H40-G40))/3)+J40</f>
        <v>7466.666666666667</v>
      </c>
      <c r="L40" s="383">
        <f>+K40</f>
        <v>7466.666666666667</v>
      </c>
      <c r="M40" s="2"/>
      <c r="N40" s="11"/>
    </row>
    <row r="41" spans="1:14" ht="16.5" customHeight="1" x14ac:dyDescent="0.2">
      <c r="A41" s="310"/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385"/>
      <c r="M41" s="2"/>
      <c r="N41" s="11"/>
    </row>
    <row r="42" spans="1:14" s="8" customFormat="1" ht="16.5" customHeight="1" x14ac:dyDescent="0.25">
      <c r="A42" s="315">
        <v>3</v>
      </c>
      <c r="B42" s="320" t="s">
        <v>3</v>
      </c>
      <c r="C42" s="320" t="e">
        <f>+#REF!+#REF!+#REF!</f>
        <v>#REF!</v>
      </c>
      <c r="D42" s="320" t="e">
        <f>+#REF!+#REF!+D44</f>
        <v>#REF!</v>
      </c>
      <c r="E42" s="320" t="e">
        <f>+#REF!+#REF!+E44</f>
        <v>#REF!</v>
      </c>
      <c r="F42" s="320"/>
      <c r="G42" s="320"/>
      <c r="H42" s="321">
        <f>+H43+H48</f>
        <v>89082.16</v>
      </c>
      <c r="I42" s="321">
        <f>+I43+I48</f>
        <v>0</v>
      </c>
      <c r="J42" s="321">
        <f>+J43+J48</f>
        <v>28040.78</v>
      </c>
      <c r="K42" s="321">
        <f>+K43+K48</f>
        <v>0</v>
      </c>
      <c r="L42" s="386">
        <f>+L43+L48</f>
        <v>117397.57</v>
      </c>
      <c r="N42" s="9"/>
    </row>
    <row r="43" spans="1:14" s="7" customFormat="1" ht="16.5" customHeight="1" x14ac:dyDescent="0.25">
      <c r="A43" s="316">
        <v>3.7</v>
      </c>
      <c r="B43" s="161" t="s">
        <v>2</v>
      </c>
      <c r="C43" s="161"/>
      <c r="D43" s="161"/>
      <c r="E43" s="161"/>
      <c r="F43" s="161"/>
      <c r="G43" s="161"/>
      <c r="H43" s="214">
        <f>+H44</f>
        <v>70582.16</v>
      </c>
      <c r="I43" s="214">
        <f>+I44</f>
        <v>0</v>
      </c>
      <c r="J43" s="214">
        <f>+J44</f>
        <v>0</v>
      </c>
      <c r="K43" s="214">
        <f>+K44</f>
        <v>0</v>
      </c>
      <c r="L43" s="387">
        <f>+L44</f>
        <v>91379.63</v>
      </c>
      <c r="N43" s="10"/>
    </row>
    <row r="44" spans="1:14" s="7" customFormat="1" ht="16.5" customHeight="1" x14ac:dyDescent="0.25">
      <c r="A44" s="319" t="s">
        <v>164</v>
      </c>
      <c r="B44" s="157" t="s">
        <v>1</v>
      </c>
      <c r="C44" s="156">
        <f>+C46</f>
        <v>31450.27</v>
      </c>
      <c r="D44" s="156">
        <v>292216.34000000003</v>
      </c>
      <c r="E44" s="156">
        <v>86536.16</v>
      </c>
      <c r="F44" s="156"/>
      <c r="G44" s="156"/>
      <c r="H44" s="215">
        <f>+H45</f>
        <v>70582.16</v>
      </c>
      <c r="I44" s="215">
        <f>+I45</f>
        <v>0</v>
      </c>
      <c r="J44" s="215">
        <f>+J45</f>
        <v>0</v>
      </c>
      <c r="K44" s="215">
        <f>+K45</f>
        <v>0</v>
      </c>
      <c r="L44" s="388">
        <f>+L45+L47</f>
        <v>91379.63</v>
      </c>
      <c r="M44" s="143"/>
      <c r="N44" s="10"/>
    </row>
    <row r="45" spans="1:14" s="7" customFormat="1" ht="16.5" customHeight="1" x14ac:dyDescent="0.25">
      <c r="A45" s="319" t="s">
        <v>337</v>
      </c>
      <c r="B45" s="159" t="s">
        <v>338</v>
      </c>
      <c r="C45" s="220"/>
      <c r="D45" s="220"/>
      <c r="E45" s="220"/>
      <c r="F45" s="220"/>
      <c r="G45" s="220"/>
      <c r="H45" s="160">
        <v>70582.16</v>
      </c>
      <c r="I45" s="160"/>
      <c r="J45" s="160"/>
      <c r="K45" s="160">
        <f>+((+(G45-F45)+(H45-G45)+(I45-H45))/3+I45)</f>
        <v>0</v>
      </c>
      <c r="L45" s="389">
        <v>91379.63</v>
      </c>
      <c r="M45" s="143"/>
      <c r="N45" s="10"/>
    </row>
    <row r="46" spans="1:14" ht="16.5" customHeight="1" x14ac:dyDescent="0.2">
      <c r="A46" s="310" t="s">
        <v>331</v>
      </c>
      <c r="B46" s="159" t="s">
        <v>226</v>
      </c>
      <c r="C46" s="160">
        <v>31450.27</v>
      </c>
      <c r="D46" s="160">
        <v>31450.27</v>
      </c>
      <c r="E46" s="160">
        <v>31450.27</v>
      </c>
      <c r="F46" s="160"/>
      <c r="G46" s="160"/>
      <c r="H46" s="160"/>
      <c r="I46" s="160"/>
      <c r="J46" s="160"/>
      <c r="K46" s="160">
        <f>+((+(G46-F46)+(H46-G46)+(I46-H46))/3+I46)</f>
        <v>0</v>
      </c>
      <c r="L46" s="385"/>
      <c r="M46" s="142"/>
    </row>
    <row r="47" spans="1:14" ht="16.5" customHeight="1" x14ac:dyDescent="0.2">
      <c r="A47" s="310" t="s">
        <v>357</v>
      </c>
      <c r="B47" s="159" t="s">
        <v>358</v>
      </c>
      <c r="C47" s="160"/>
      <c r="D47" s="160"/>
      <c r="E47" s="160"/>
      <c r="F47" s="160"/>
      <c r="G47" s="160"/>
      <c r="H47" s="160"/>
      <c r="I47" s="160"/>
      <c r="J47" s="160"/>
      <c r="K47" s="160"/>
      <c r="L47" s="385">
        <v>0</v>
      </c>
      <c r="M47" s="142"/>
    </row>
    <row r="48" spans="1:14" ht="15.75" customHeight="1" x14ac:dyDescent="0.25">
      <c r="A48" s="316">
        <v>3.8</v>
      </c>
      <c r="B48" s="161" t="s">
        <v>165</v>
      </c>
      <c r="C48" s="161"/>
      <c r="D48" s="161"/>
      <c r="E48" s="161"/>
      <c r="F48" s="161"/>
      <c r="G48" s="161"/>
      <c r="H48" s="248">
        <f>+H49</f>
        <v>18500</v>
      </c>
      <c r="I48" s="248">
        <f>+I49</f>
        <v>0</v>
      </c>
      <c r="J48" s="248">
        <f>+J49</f>
        <v>28040.78</v>
      </c>
      <c r="K48" s="248">
        <f>+K49</f>
        <v>0</v>
      </c>
      <c r="L48" s="390">
        <f>+L49</f>
        <v>26017.94</v>
      </c>
    </row>
    <row r="49" spans="1:18" ht="15.75" customHeight="1" x14ac:dyDescent="0.25">
      <c r="A49" s="319" t="s">
        <v>166</v>
      </c>
      <c r="B49" s="157" t="s">
        <v>165</v>
      </c>
      <c r="C49" s="156">
        <f>+C50</f>
        <v>31450.27</v>
      </c>
      <c r="D49" s="156">
        <v>292216.34000000003</v>
      </c>
      <c r="E49" s="156">
        <v>86536.16</v>
      </c>
      <c r="F49" s="156"/>
      <c r="G49" s="156"/>
      <c r="H49" s="158">
        <f>+H50+H51</f>
        <v>18500</v>
      </c>
      <c r="I49" s="158">
        <f>+I50+I51</f>
        <v>0</v>
      </c>
      <c r="J49" s="158">
        <f>+J50+J51</f>
        <v>28040.78</v>
      </c>
      <c r="K49" s="158">
        <f>+K50+K51</f>
        <v>0</v>
      </c>
      <c r="L49" s="381">
        <f>+L50+L51</f>
        <v>26017.94</v>
      </c>
      <c r="M49" s="141"/>
    </row>
    <row r="50" spans="1:18" ht="15.75" customHeight="1" x14ac:dyDescent="0.2">
      <c r="A50" s="310" t="s">
        <v>167</v>
      </c>
      <c r="B50" s="159" t="s">
        <v>340</v>
      </c>
      <c r="C50" s="160">
        <v>31450.27</v>
      </c>
      <c r="D50" s="160">
        <v>31450.27</v>
      </c>
      <c r="E50" s="160">
        <v>31450.27</v>
      </c>
      <c r="F50" s="160"/>
      <c r="G50" s="160"/>
      <c r="H50" s="160">
        <v>18500</v>
      </c>
      <c r="I50" s="160"/>
      <c r="J50" s="160">
        <v>28040.78</v>
      </c>
      <c r="K50" s="160">
        <f>+((+(G50-F50)+(H50-G50)+(I50-H50))/3+I50)</f>
        <v>0</v>
      </c>
      <c r="L50" s="385">
        <v>25607.919999999998</v>
      </c>
      <c r="M50" s="141"/>
    </row>
    <row r="51" spans="1:18" ht="15" x14ac:dyDescent="0.2">
      <c r="A51" s="310" t="s">
        <v>339</v>
      </c>
      <c r="B51" s="101" t="s">
        <v>341</v>
      </c>
      <c r="C51" s="160"/>
      <c r="D51" s="160"/>
      <c r="E51" s="160"/>
      <c r="F51" s="160"/>
      <c r="G51" s="160"/>
      <c r="H51" s="160"/>
      <c r="I51" s="160"/>
      <c r="J51" s="160"/>
      <c r="K51" s="213">
        <v>0</v>
      </c>
      <c r="L51" s="385">
        <v>410.02</v>
      </c>
    </row>
    <row r="52" spans="1:18" ht="15" x14ac:dyDescent="0.2">
      <c r="A52" s="310"/>
      <c r="B52" s="101"/>
      <c r="C52" s="160"/>
      <c r="D52" s="160"/>
      <c r="E52" s="160"/>
      <c r="F52" s="160"/>
      <c r="G52" s="160"/>
      <c r="H52" s="160"/>
      <c r="I52" s="160"/>
      <c r="J52" s="160"/>
      <c r="K52" s="160"/>
      <c r="L52" s="385"/>
    </row>
    <row r="53" spans="1:18" ht="15" hidden="1" x14ac:dyDescent="0.2">
      <c r="A53" s="101"/>
      <c r="B53" s="101"/>
      <c r="C53" s="160"/>
      <c r="D53" s="160"/>
      <c r="E53" s="160"/>
      <c r="F53" s="160"/>
      <c r="G53" s="160"/>
      <c r="H53" s="160"/>
      <c r="I53" s="160"/>
      <c r="J53" s="160"/>
      <c r="K53" s="160"/>
      <c r="L53" s="378"/>
      <c r="M53" s="141"/>
    </row>
    <row r="54" spans="1:18" ht="15" hidden="1" x14ac:dyDescent="0.2">
      <c r="A54" s="101"/>
      <c r="B54" s="101"/>
      <c r="C54" s="160"/>
      <c r="D54" s="160"/>
      <c r="E54" s="160"/>
      <c r="F54" s="160"/>
      <c r="G54" s="160"/>
      <c r="H54" s="160"/>
      <c r="I54" s="160"/>
      <c r="J54" s="160"/>
      <c r="K54" s="160"/>
      <c r="L54" s="378"/>
      <c r="M54" s="141"/>
    </row>
    <row r="55" spans="1:18" ht="15" hidden="1" x14ac:dyDescent="0.2">
      <c r="A55" s="101"/>
      <c r="B55" s="101"/>
      <c r="C55" s="160"/>
      <c r="D55" s="160"/>
      <c r="E55" s="160"/>
      <c r="F55" s="160"/>
      <c r="G55" s="160"/>
      <c r="H55" s="160"/>
      <c r="I55" s="160"/>
      <c r="J55" s="160"/>
      <c r="K55" s="160"/>
      <c r="L55" s="378"/>
      <c r="M55" s="141"/>
    </row>
    <row r="56" spans="1:18" ht="15" hidden="1" x14ac:dyDescent="0.2">
      <c r="A56" s="101"/>
      <c r="B56" s="101"/>
      <c r="C56" s="160"/>
      <c r="D56" s="160"/>
      <c r="E56" s="160"/>
      <c r="F56" s="160"/>
      <c r="G56" s="160"/>
      <c r="H56" s="160"/>
      <c r="I56" s="160"/>
      <c r="J56" s="160"/>
      <c r="K56" s="160"/>
      <c r="L56" s="378"/>
      <c r="M56" s="141"/>
    </row>
    <row r="57" spans="1:18" s="3" customFormat="1" ht="15.75" x14ac:dyDescent="0.25">
      <c r="A57" s="322"/>
      <c r="B57" s="157" t="s">
        <v>0</v>
      </c>
      <c r="C57" s="158" t="e">
        <f>+C42+#REF!+C6</f>
        <v>#REF!</v>
      </c>
      <c r="D57" s="158" t="e">
        <f>+D42+#REF!+D6</f>
        <v>#REF!</v>
      </c>
      <c r="E57" s="158" t="e">
        <f>+E42+#REF!+E6</f>
        <v>#REF!</v>
      </c>
      <c r="F57" s="158">
        <f t="shared" ref="F57:K57" si="8">+F48+F43+F36+F30+F26+F22</f>
        <v>182026.83</v>
      </c>
      <c r="G57" s="158">
        <f t="shared" si="8"/>
        <v>162083.24</v>
      </c>
      <c r="H57" s="158">
        <f t="shared" si="8"/>
        <v>290419.8</v>
      </c>
      <c r="I57" s="158">
        <f t="shared" si="8"/>
        <v>254641.76</v>
      </c>
      <c r="J57" s="158">
        <f t="shared" si="8"/>
        <v>217357.43</v>
      </c>
      <c r="K57" s="158">
        <f t="shared" si="8"/>
        <v>198394.45333333334</v>
      </c>
      <c r="L57" s="381">
        <f>+L42+L29+L6</f>
        <v>321814.23666666669</v>
      </c>
      <c r="M57" s="144"/>
      <c r="N57" s="6"/>
    </row>
    <row r="58" spans="1:18" x14ac:dyDescent="0.2">
      <c r="E58" s="5"/>
      <c r="F58" s="5"/>
      <c r="G58" s="5"/>
      <c r="H58" s="5"/>
      <c r="I58" s="5"/>
      <c r="J58" s="5"/>
      <c r="K58" s="5"/>
      <c r="L58" s="206"/>
    </row>
    <row r="59" spans="1:18" x14ac:dyDescent="0.2">
      <c r="E59" s="5"/>
      <c r="F59" s="5"/>
      <c r="G59" s="5"/>
      <c r="H59" s="5"/>
      <c r="I59" s="5"/>
      <c r="J59" s="5"/>
      <c r="K59" s="5"/>
      <c r="M59" s="4"/>
    </row>
    <row r="60" spans="1:18" x14ac:dyDescent="0.2">
      <c r="D60" s="5"/>
    </row>
    <row r="61" spans="1:18" x14ac:dyDescent="0.2">
      <c r="D61" s="5"/>
    </row>
    <row r="62" spans="1:18" x14ac:dyDescent="0.2">
      <c r="A62" s="1"/>
      <c r="D62" s="5"/>
    </row>
    <row r="63" spans="1:18" x14ac:dyDescent="0.2">
      <c r="A63" s="1"/>
      <c r="D63" s="5"/>
    </row>
    <row r="64" spans="1:18" x14ac:dyDescent="0.2">
      <c r="A64" s="1"/>
      <c r="D64" s="5"/>
      <c r="M64" s="162"/>
      <c r="N64" s="162"/>
      <c r="O64" s="162"/>
      <c r="P64" s="162"/>
      <c r="Q64" s="162"/>
      <c r="R64" s="162"/>
    </row>
    <row r="65" spans="1:14" x14ac:dyDescent="0.2">
      <c r="A65" s="1"/>
      <c r="D65" s="5"/>
    </row>
    <row r="67" spans="1:14" x14ac:dyDescent="0.2">
      <c r="A67" s="1"/>
      <c r="D67" s="4">
        <v>58120</v>
      </c>
      <c r="E67" s="4">
        <v>60220.75</v>
      </c>
      <c r="F67" s="4"/>
      <c r="G67" s="4"/>
      <c r="H67" s="4"/>
      <c r="I67" s="4"/>
      <c r="J67" s="4"/>
    </row>
    <row r="68" spans="1:14" x14ac:dyDescent="0.2">
      <c r="A68" s="1"/>
      <c r="B68" s="108"/>
      <c r="D68" s="4">
        <v>240882.98</v>
      </c>
      <c r="E68" s="4">
        <v>8516.39</v>
      </c>
      <c r="F68" s="4"/>
      <c r="G68" s="4"/>
      <c r="H68" s="4"/>
      <c r="I68" s="4"/>
      <c r="J68" s="4"/>
    </row>
    <row r="69" spans="1:14" hidden="1" x14ac:dyDescent="0.2">
      <c r="A69" s="1"/>
      <c r="B69" s="109" t="s">
        <v>136</v>
      </c>
      <c r="D69" s="4">
        <v>37569.42</v>
      </c>
      <c r="E69" s="4">
        <v>119360.34</v>
      </c>
      <c r="F69" s="4"/>
      <c r="G69" s="4"/>
      <c r="H69" s="4"/>
      <c r="I69" s="4"/>
      <c r="J69" s="4"/>
    </row>
    <row r="70" spans="1:14" hidden="1" x14ac:dyDescent="0.2">
      <c r="A70" s="1"/>
      <c r="B70" s="109" t="s">
        <v>137</v>
      </c>
      <c r="D70" s="4">
        <v>15000</v>
      </c>
      <c r="E70" s="4">
        <v>5311.26</v>
      </c>
      <c r="F70" s="4"/>
      <c r="G70" s="4"/>
      <c r="H70" s="4"/>
      <c r="I70" s="4"/>
      <c r="J70" s="4"/>
    </row>
    <row r="71" spans="1:14" x14ac:dyDescent="0.2">
      <c r="A71" s="1"/>
      <c r="B71" s="109"/>
      <c r="D71" s="4"/>
      <c r="E71" s="4"/>
      <c r="F71" s="4"/>
      <c r="G71" s="4"/>
      <c r="H71" s="4"/>
      <c r="I71" s="4"/>
      <c r="J71" s="4"/>
    </row>
    <row r="72" spans="1:14" x14ac:dyDescent="0.2">
      <c r="A72" s="1"/>
      <c r="B72" s="109"/>
      <c r="D72" s="4"/>
      <c r="E72" s="4"/>
      <c r="F72" s="4"/>
      <c r="G72" s="4"/>
      <c r="H72" s="4"/>
      <c r="I72" s="4"/>
      <c r="J72" s="4"/>
    </row>
    <row r="73" spans="1:14" x14ac:dyDescent="0.2">
      <c r="A73" s="1"/>
      <c r="B73" s="109"/>
      <c r="D73" s="4"/>
      <c r="E73" s="4"/>
      <c r="F73" s="4"/>
      <c r="G73" s="4"/>
      <c r="H73" s="4"/>
      <c r="I73" s="4"/>
      <c r="J73" s="4"/>
    </row>
    <row r="74" spans="1:14" x14ac:dyDescent="0.2">
      <c r="A74" s="1"/>
      <c r="B74" s="109"/>
      <c r="D74" s="4"/>
      <c r="E74" s="4"/>
      <c r="F74" s="4"/>
      <c r="G74" s="4"/>
      <c r="H74" s="4"/>
      <c r="I74" s="4"/>
      <c r="J74" s="4"/>
    </row>
    <row r="75" spans="1:14" x14ac:dyDescent="0.2">
      <c r="A75" s="1"/>
      <c r="B75" s="108"/>
      <c r="D75" s="4">
        <v>5295.41</v>
      </c>
      <c r="E75" s="4">
        <v>1754.57</v>
      </c>
      <c r="F75" s="4"/>
      <c r="G75" s="4"/>
      <c r="H75" s="4"/>
      <c r="I75" s="4"/>
      <c r="J75" s="4"/>
    </row>
    <row r="76" spans="1:14" x14ac:dyDescent="0.2">
      <c r="A76" s="1"/>
      <c r="D76" s="4">
        <v>100000</v>
      </c>
      <c r="E76" s="4">
        <v>33404.300000000003</v>
      </c>
      <c r="F76" s="4"/>
      <c r="G76" s="4"/>
      <c r="H76" s="4"/>
      <c r="I76" s="4"/>
      <c r="J76" s="4"/>
    </row>
    <row r="77" spans="1:14" ht="15" customHeight="1" x14ac:dyDescent="0.25">
      <c r="A77" s="1"/>
      <c r="B77" s="428" t="s">
        <v>400</v>
      </c>
      <c r="C77" s="429"/>
      <c r="D77" s="429"/>
      <c r="E77" s="429"/>
      <c r="F77" s="429"/>
      <c r="G77" s="429"/>
      <c r="H77" s="429"/>
      <c r="I77" s="429"/>
      <c r="J77" s="429"/>
      <c r="K77" s="429"/>
      <c r="L77" s="429"/>
    </row>
    <row r="78" spans="1:14" ht="30" x14ac:dyDescent="0.25">
      <c r="A78" s="138"/>
      <c r="B78" s="119" t="s">
        <v>44</v>
      </c>
      <c r="C78" s="120"/>
      <c r="D78" s="121">
        <v>7143.17</v>
      </c>
      <c r="E78" s="121">
        <v>12000</v>
      </c>
      <c r="F78" s="121"/>
      <c r="G78" s="121"/>
      <c r="H78" s="121"/>
      <c r="I78" s="121"/>
      <c r="J78" s="121"/>
      <c r="K78" s="120" t="s">
        <v>138</v>
      </c>
      <c r="L78" s="122" t="s">
        <v>145</v>
      </c>
    </row>
    <row r="79" spans="1:14" s="3" customFormat="1" ht="15" x14ac:dyDescent="0.25">
      <c r="A79" s="138"/>
      <c r="B79" s="102" t="s">
        <v>14</v>
      </c>
      <c r="C79" s="112"/>
      <c r="D79" s="103">
        <v>43953.120000000003</v>
      </c>
      <c r="E79" s="103">
        <v>90650.59</v>
      </c>
      <c r="F79" s="103"/>
      <c r="G79" s="103"/>
      <c r="H79" s="103"/>
      <c r="I79" s="103"/>
      <c r="J79" s="103"/>
      <c r="K79" s="113">
        <f>SUM(K80:K84)</f>
        <v>64950</v>
      </c>
      <c r="L79" s="123">
        <f>+K79/K93</f>
        <v>0.31773338768854464</v>
      </c>
      <c r="M79" s="3">
        <f>L57*22%</f>
        <v>70799.132066666672</v>
      </c>
      <c r="N79" s="6"/>
    </row>
    <row r="80" spans="1:14" x14ac:dyDescent="0.2">
      <c r="B80" s="101" t="s">
        <v>134</v>
      </c>
      <c r="C80" s="114">
        <v>568296.28</v>
      </c>
      <c r="D80" s="104">
        <v>512109.51</v>
      </c>
      <c r="E80" s="104">
        <v>630323.42000000004</v>
      </c>
      <c r="F80" s="104"/>
      <c r="G80" s="104"/>
      <c r="H80" s="104"/>
      <c r="I80" s="104"/>
      <c r="J80" s="104"/>
      <c r="K80" s="115"/>
      <c r="L80" s="101"/>
    </row>
    <row r="81" spans="1:14" x14ac:dyDescent="0.2">
      <c r="B81" s="101" t="s">
        <v>135</v>
      </c>
      <c r="C81" s="114">
        <v>30845.319999999996</v>
      </c>
      <c r="D81" s="104">
        <v>37260.57</v>
      </c>
      <c r="E81" s="104">
        <v>5151.82</v>
      </c>
      <c r="F81" s="104"/>
      <c r="G81" s="104"/>
      <c r="H81" s="104"/>
      <c r="I81" s="104"/>
      <c r="J81" s="104"/>
      <c r="K81" s="115">
        <f>+L26</f>
        <v>1200</v>
      </c>
      <c r="L81" s="207"/>
    </row>
    <row r="82" spans="1:14" x14ac:dyDescent="0.2">
      <c r="B82" s="101" t="s">
        <v>140</v>
      </c>
      <c r="C82" s="114">
        <v>3623.8999999999996</v>
      </c>
      <c r="D82" s="104">
        <v>5680.8099999999995</v>
      </c>
      <c r="E82" s="104">
        <v>5127.9799999999996</v>
      </c>
      <c r="F82" s="104"/>
      <c r="G82" s="104"/>
      <c r="H82" s="104"/>
      <c r="I82" s="104"/>
      <c r="J82" s="104"/>
      <c r="K82" s="115"/>
      <c r="L82" s="101"/>
    </row>
    <row r="83" spans="1:14" x14ac:dyDescent="0.2">
      <c r="B83" s="101" t="s">
        <v>141</v>
      </c>
      <c r="C83" s="114"/>
      <c r="D83" s="104"/>
      <c r="E83" s="104"/>
      <c r="F83" s="104"/>
      <c r="G83" s="104"/>
      <c r="H83" s="104"/>
      <c r="I83" s="104"/>
      <c r="J83" s="104"/>
      <c r="K83" s="115"/>
      <c r="L83" s="101"/>
    </row>
    <row r="84" spans="1:14" x14ac:dyDescent="0.2">
      <c r="B84" s="101" t="s">
        <v>142</v>
      </c>
      <c r="C84" s="114"/>
      <c r="D84" s="104"/>
      <c r="E84" s="104"/>
      <c r="F84" s="104"/>
      <c r="G84" s="104"/>
      <c r="H84" s="104"/>
      <c r="I84" s="104"/>
      <c r="J84" s="104"/>
      <c r="K84" s="115">
        <f>+L25</f>
        <v>63750</v>
      </c>
      <c r="L84" s="207"/>
    </row>
    <row r="85" spans="1:14" s="3" customFormat="1" ht="14.25" hidden="1" customHeight="1" x14ac:dyDescent="0.25">
      <c r="A85" s="138"/>
      <c r="B85" s="102" t="s">
        <v>5</v>
      </c>
      <c r="C85" s="112"/>
      <c r="D85" s="103">
        <v>18910.32</v>
      </c>
      <c r="E85" s="103">
        <v>6719.16</v>
      </c>
      <c r="F85" s="103"/>
      <c r="G85" s="103"/>
      <c r="H85" s="103"/>
      <c r="I85" s="103"/>
      <c r="J85" s="103"/>
      <c r="K85" s="113">
        <f>K29</f>
        <v>140805.52666666667</v>
      </c>
      <c r="L85" s="123">
        <f>+K85/K90</f>
        <v>0.40786927777470622</v>
      </c>
      <c r="N85" s="6"/>
    </row>
    <row r="86" spans="1:14" ht="14.25" hidden="1" customHeight="1" x14ac:dyDescent="0.2">
      <c r="B86" s="101" t="s">
        <v>143</v>
      </c>
      <c r="C86" s="114"/>
      <c r="D86" s="104"/>
      <c r="E86" s="104"/>
      <c r="F86" s="104"/>
      <c r="G86" s="104"/>
      <c r="H86" s="104"/>
      <c r="I86" s="104"/>
      <c r="J86" s="104"/>
      <c r="K86" s="115" t="e">
        <f>+#REF!</f>
        <v>#REF!</v>
      </c>
      <c r="L86" s="101"/>
    </row>
    <row r="87" spans="1:14" ht="14.25" hidden="1" customHeight="1" x14ac:dyDescent="0.2">
      <c r="B87" s="101" t="s">
        <v>144</v>
      </c>
      <c r="C87" s="114"/>
      <c r="D87" s="104"/>
      <c r="E87" s="104"/>
      <c r="F87" s="104"/>
      <c r="G87" s="104"/>
      <c r="H87" s="104"/>
      <c r="I87" s="104"/>
      <c r="J87" s="104"/>
      <c r="K87" s="115" t="e">
        <f>+#REF!</f>
        <v>#REF!</v>
      </c>
      <c r="L87" s="101"/>
    </row>
    <row r="88" spans="1:14" s="3" customFormat="1" ht="14.25" hidden="1" customHeight="1" x14ac:dyDescent="0.25">
      <c r="A88" s="138"/>
      <c r="B88" s="102" t="s">
        <v>139</v>
      </c>
      <c r="C88" s="112"/>
      <c r="D88" s="103">
        <v>11053.53</v>
      </c>
      <c r="E88" s="103">
        <v>10402.629999999999</v>
      </c>
      <c r="F88" s="103"/>
      <c r="G88" s="103"/>
      <c r="H88" s="103"/>
      <c r="I88" s="103"/>
      <c r="J88" s="103"/>
      <c r="K88" s="113">
        <v>0</v>
      </c>
      <c r="L88" s="102"/>
      <c r="N88" s="6"/>
    </row>
    <row r="89" spans="1:14" s="3" customFormat="1" ht="15" x14ac:dyDescent="0.25">
      <c r="A89" s="138"/>
      <c r="B89" s="102" t="s">
        <v>139</v>
      </c>
      <c r="C89" s="112"/>
      <c r="D89" s="103"/>
      <c r="E89" s="103"/>
      <c r="F89" s="103"/>
      <c r="G89" s="103"/>
      <c r="H89" s="103"/>
      <c r="I89" s="103"/>
      <c r="J89" s="103"/>
      <c r="K89" s="113">
        <f>+L29</f>
        <v>139466.66666666666</v>
      </c>
      <c r="L89" s="123">
        <f>+K89/K93</f>
        <v>0.68226661231145536</v>
      </c>
      <c r="N89" s="6"/>
    </row>
    <row r="90" spans="1:14" s="110" customFormat="1" ht="14.25" hidden="1" customHeight="1" x14ac:dyDescent="0.25">
      <c r="A90" s="139"/>
      <c r="B90" s="116" t="s">
        <v>20</v>
      </c>
      <c r="C90" s="117"/>
      <c r="D90" s="105">
        <v>38515.08</v>
      </c>
      <c r="E90" s="105">
        <v>109499.67</v>
      </c>
      <c r="F90" s="105"/>
      <c r="G90" s="105"/>
      <c r="H90" s="105"/>
      <c r="I90" s="105"/>
      <c r="J90" s="105"/>
      <c r="K90" s="118">
        <f>+K88+K85+K79+K89</f>
        <v>345222.19333333336</v>
      </c>
      <c r="L90" s="124">
        <f>+K90/K90</f>
        <v>1</v>
      </c>
      <c r="N90" s="111"/>
    </row>
    <row r="91" spans="1:14" ht="14.25" hidden="1" customHeight="1" x14ac:dyDescent="0.25">
      <c r="D91" s="6">
        <f>SUM(D67:D90)</f>
        <v>1131493.9200000002</v>
      </c>
      <c r="E91" s="6">
        <f>SUM(E67:E90)</f>
        <v>1098442.8799999999</v>
      </c>
      <c r="F91" s="6"/>
      <c r="G91" s="6"/>
      <c r="H91" s="6"/>
      <c r="I91" s="6"/>
      <c r="J91" s="6"/>
    </row>
    <row r="92" spans="1:14" ht="15" hidden="1" customHeight="1" x14ac:dyDescent="0.25">
      <c r="D92" s="6"/>
    </row>
    <row r="93" spans="1:14" ht="15" x14ac:dyDescent="0.25">
      <c r="D93" s="6"/>
      <c r="E93" s="4"/>
      <c r="F93" s="4"/>
      <c r="G93" s="4"/>
      <c r="H93" s="4"/>
      <c r="I93" s="4"/>
      <c r="J93" s="4"/>
      <c r="K93" s="5">
        <f>+K89+K79</f>
        <v>204416.66666666666</v>
      </c>
      <c r="L93" s="208">
        <f>SUM(L79+L89)</f>
        <v>1</v>
      </c>
    </row>
    <row r="94" spans="1:14" ht="15" x14ac:dyDescent="0.25">
      <c r="A94" s="1"/>
      <c r="D94" s="6"/>
      <c r="E94" s="4"/>
      <c r="F94" s="4"/>
      <c r="G94" s="4"/>
      <c r="H94" s="4"/>
      <c r="I94" s="4"/>
      <c r="J94" s="4"/>
      <c r="K94" s="1"/>
      <c r="N94" s="1"/>
    </row>
    <row r="95" spans="1:14" x14ac:dyDescent="0.2">
      <c r="A95" s="1"/>
      <c r="D95" s="4"/>
      <c r="K95" s="1"/>
      <c r="N95" s="1"/>
    </row>
    <row r="96" spans="1:14" x14ac:dyDescent="0.2">
      <c r="A96" s="1"/>
      <c r="B96" s="1" t="s">
        <v>19</v>
      </c>
      <c r="D96" s="4">
        <v>275000</v>
      </c>
      <c r="K96" s="1"/>
      <c r="N96" s="1"/>
    </row>
    <row r="97" spans="1:14" x14ac:dyDescent="0.2">
      <c r="A97" s="1"/>
      <c r="D97" s="4">
        <v>124034.61</v>
      </c>
      <c r="K97" s="1"/>
      <c r="N97" s="1"/>
    </row>
    <row r="98" spans="1:14" x14ac:dyDescent="0.2">
      <c r="A98" s="1"/>
      <c r="D98" s="4">
        <v>230349.98</v>
      </c>
      <c r="K98" s="1"/>
      <c r="N98" s="1"/>
    </row>
    <row r="99" spans="1:14" x14ac:dyDescent="0.2">
      <c r="A99" s="1"/>
      <c r="D99" s="4">
        <v>169189.15</v>
      </c>
      <c r="K99" s="1"/>
      <c r="N99" s="1"/>
    </row>
    <row r="100" spans="1:14" ht="15" x14ac:dyDescent="0.25">
      <c r="A100" s="1"/>
      <c r="D100" s="6">
        <f>SUM(D96:D99)</f>
        <v>798573.74</v>
      </c>
      <c r="K100" s="1"/>
      <c r="N100" s="1"/>
    </row>
    <row r="101" spans="1:14" x14ac:dyDescent="0.2">
      <c r="A101" s="1"/>
      <c r="D101" s="4"/>
      <c r="K101" s="1"/>
      <c r="N101" s="1"/>
    </row>
    <row r="102" spans="1:14" x14ac:dyDescent="0.2">
      <c r="A102" s="1"/>
      <c r="D102" s="4"/>
      <c r="K102" s="1"/>
      <c r="N102" s="1"/>
    </row>
    <row r="103" spans="1:14" x14ac:dyDescent="0.2">
      <c r="A103" s="1"/>
      <c r="D103" s="4"/>
      <c r="K103" s="1"/>
      <c r="N103" s="1"/>
    </row>
    <row r="104" spans="1:14" x14ac:dyDescent="0.2">
      <c r="A104" s="1"/>
      <c r="D104" s="4"/>
      <c r="K104" s="1"/>
      <c r="N104" s="1"/>
    </row>
    <row r="105" spans="1:14" x14ac:dyDescent="0.2">
      <c r="A105" s="1"/>
      <c r="D105" s="4"/>
      <c r="K105" s="1"/>
      <c r="N105" s="1"/>
    </row>
    <row r="106" spans="1:14" x14ac:dyDescent="0.2">
      <c r="A106" s="1"/>
      <c r="D106" s="4"/>
      <c r="K106" s="1"/>
      <c r="N106" s="1"/>
    </row>
    <row r="107" spans="1:14" x14ac:dyDescent="0.2">
      <c r="A107" s="1"/>
      <c r="D107" s="4"/>
      <c r="K107" s="1"/>
      <c r="N107" s="1"/>
    </row>
  </sheetData>
  <mergeCells count="5">
    <mergeCell ref="A1:K1"/>
    <mergeCell ref="A2:K2"/>
    <mergeCell ref="A3:K3"/>
    <mergeCell ref="M27:N27"/>
    <mergeCell ref="B77:L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7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M294"/>
  <sheetViews>
    <sheetView tabSelected="1" zoomScale="170" zoomScaleNormal="170" zoomScaleSheetLayoutView="85" workbookViewId="0">
      <selection activeCell="D2" sqref="D2"/>
    </sheetView>
  </sheetViews>
  <sheetFormatPr baseColWidth="10" defaultRowHeight="11.25" x14ac:dyDescent="0.2"/>
  <cols>
    <col min="1" max="1" width="10.5703125" style="99" customWidth="1"/>
    <col min="2" max="2" width="47.140625" style="125" customWidth="1"/>
    <col min="3" max="3" width="10.5703125" style="243" customWidth="1"/>
    <col min="4" max="4" width="12.28515625" style="82" customWidth="1"/>
    <col min="5" max="5" width="15.28515625" style="79" hidden="1" customWidth="1"/>
    <col min="6" max="6" width="0" style="80" hidden="1" customWidth="1"/>
    <col min="7" max="7" width="6.85546875" style="80" customWidth="1"/>
    <col min="8" max="8" width="6.42578125" style="80" customWidth="1"/>
    <col min="9" max="9" width="8.42578125" style="80" customWidth="1"/>
    <col min="10" max="10" width="13.140625" style="395" customWidth="1"/>
    <col min="11" max="16384" width="11.42578125" style="80"/>
  </cols>
  <sheetData>
    <row r="1" spans="1:10" x14ac:dyDescent="0.2">
      <c r="A1" s="430" t="s">
        <v>525</v>
      </c>
      <c r="B1" s="430"/>
      <c r="C1" s="430"/>
      <c r="D1" s="430"/>
    </row>
    <row r="2" spans="1:10" ht="15" customHeight="1" x14ac:dyDescent="0.2">
      <c r="A2" s="252" t="s">
        <v>433</v>
      </c>
      <c r="B2" s="253" t="s">
        <v>38</v>
      </c>
      <c r="C2" s="254"/>
      <c r="D2" s="255"/>
      <c r="E2" s="83"/>
      <c r="G2" s="432" t="s">
        <v>531</v>
      </c>
      <c r="H2" s="432"/>
      <c r="I2" s="432"/>
      <c r="J2" s="431" t="s">
        <v>20</v>
      </c>
    </row>
    <row r="3" spans="1:10" ht="15.75" x14ac:dyDescent="0.25">
      <c r="A3" s="256"/>
      <c r="B3" s="257"/>
      <c r="C3" s="258"/>
      <c r="D3" s="259"/>
      <c r="E3" s="84"/>
      <c r="G3" s="409" t="s">
        <v>532</v>
      </c>
      <c r="H3" s="409" t="s">
        <v>533</v>
      </c>
      <c r="I3" s="410" t="s">
        <v>524</v>
      </c>
      <c r="J3" s="431"/>
    </row>
    <row r="4" spans="1:10" x14ac:dyDescent="0.2">
      <c r="A4" s="85" t="s">
        <v>43</v>
      </c>
      <c r="B4" s="126" t="s">
        <v>44</v>
      </c>
      <c r="C4" s="234" t="s">
        <v>352</v>
      </c>
      <c r="D4" s="87" t="s">
        <v>45</v>
      </c>
      <c r="E4" s="82"/>
      <c r="G4" s="396"/>
      <c r="H4" s="396"/>
      <c r="I4" s="396"/>
      <c r="J4" s="408"/>
    </row>
    <row r="5" spans="1:10" x14ac:dyDescent="0.2">
      <c r="A5" s="85"/>
      <c r="B5" s="126"/>
      <c r="C5" s="231"/>
      <c r="D5" s="87"/>
      <c r="E5" s="82"/>
      <c r="G5" s="396"/>
      <c r="H5" s="396"/>
      <c r="I5" s="396"/>
      <c r="J5" s="408"/>
    </row>
    <row r="6" spans="1:10" x14ac:dyDescent="0.2">
      <c r="A6" s="85"/>
      <c r="B6" s="126" t="s">
        <v>216</v>
      </c>
      <c r="C6" s="231"/>
      <c r="D6" s="87">
        <f>+C8+C28+C61+C66</f>
        <v>62673.783299999996</v>
      </c>
      <c r="E6" s="81"/>
      <c r="F6" s="97"/>
      <c r="G6" s="396">
        <v>0</v>
      </c>
      <c r="H6" s="396">
        <v>0</v>
      </c>
      <c r="I6" s="397">
        <f>D6</f>
        <v>62673.783299999996</v>
      </c>
      <c r="J6" s="408">
        <f>D6</f>
        <v>62673.783299999996</v>
      </c>
    </row>
    <row r="7" spans="1:10" x14ac:dyDescent="0.2">
      <c r="A7" s="85"/>
      <c r="B7" s="126"/>
      <c r="C7" s="231"/>
      <c r="D7" s="87"/>
      <c r="E7" s="81"/>
      <c r="F7" s="97"/>
      <c r="G7" s="398"/>
      <c r="H7" s="396"/>
      <c r="I7" s="396"/>
      <c r="J7" s="408"/>
    </row>
    <row r="8" spans="1:10" x14ac:dyDescent="0.2">
      <c r="A8" s="85" t="s">
        <v>46</v>
      </c>
      <c r="B8" s="126" t="s">
        <v>351</v>
      </c>
      <c r="C8" s="234">
        <f>+C9+C12+C16+C24</f>
        <v>51662.533299999996</v>
      </c>
      <c r="D8" s="87"/>
      <c r="E8" s="81" t="s">
        <v>215</v>
      </c>
      <c r="F8" s="97">
        <f>D8+C64+C29+C63</f>
        <v>2930</v>
      </c>
      <c r="G8" s="397"/>
      <c r="H8" s="396"/>
      <c r="I8" s="396"/>
      <c r="J8" s="408"/>
    </row>
    <row r="9" spans="1:10" x14ac:dyDescent="0.2">
      <c r="A9" s="85" t="s">
        <v>47</v>
      </c>
      <c r="B9" s="126" t="s">
        <v>48</v>
      </c>
      <c r="C9" s="234">
        <f>+C10</f>
        <v>37714.199999999997</v>
      </c>
      <c r="D9" s="87"/>
      <c r="E9" s="81"/>
      <c r="F9" s="97"/>
      <c r="G9" s="399"/>
      <c r="H9" s="396"/>
      <c r="I9" s="396"/>
      <c r="J9" s="408"/>
    </row>
    <row r="10" spans="1:10" x14ac:dyDescent="0.2">
      <c r="A10" s="88" t="s">
        <v>49</v>
      </c>
      <c r="B10" s="100" t="s">
        <v>50</v>
      </c>
      <c r="C10" s="231">
        <f>+DISTRIBUTIVO!E18</f>
        <v>37714.199999999997</v>
      </c>
      <c r="D10" s="87"/>
      <c r="E10" s="81"/>
      <c r="F10" s="97"/>
      <c r="G10" s="396"/>
      <c r="H10" s="396"/>
      <c r="I10" s="396"/>
      <c r="J10" s="408"/>
    </row>
    <row r="11" spans="1:10" x14ac:dyDescent="0.2">
      <c r="A11" s="85"/>
      <c r="B11" s="126"/>
      <c r="C11" s="231"/>
      <c r="D11" s="87"/>
      <c r="E11" s="81"/>
      <c r="F11" s="97"/>
      <c r="G11" s="399"/>
      <c r="H11" s="396"/>
      <c r="I11" s="396"/>
      <c r="J11" s="408"/>
    </row>
    <row r="12" spans="1:10" x14ac:dyDescent="0.2">
      <c r="A12" s="89" t="s">
        <v>51</v>
      </c>
      <c r="B12" s="127" t="s">
        <v>52</v>
      </c>
      <c r="C12" s="234">
        <f>SUM(C13:C14)</f>
        <v>5460.35</v>
      </c>
      <c r="D12" s="87"/>
      <c r="E12" s="81"/>
      <c r="F12" s="97"/>
      <c r="G12" s="396"/>
      <c r="H12" s="396"/>
      <c r="I12" s="396"/>
      <c r="J12" s="408"/>
    </row>
    <row r="13" spans="1:10" x14ac:dyDescent="0.2">
      <c r="A13" s="90" t="s">
        <v>53</v>
      </c>
      <c r="B13" s="128" t="s">
        <v>54</v>
      </c>
      <c r="C13" s="231">
        <f>+DISTRIBUTIVO!F18</f>
        <v>3142.85</v>
      </c>
      <c r="D13" s="87"/>
      <c r="E13" s="81"/>
      <c r="F13" s="97"/>
      <c r="G13" s="396"/>
      <c r="H13" s="396"/>
      <c r="I13" s="396"/>
      <c r="J13" s="408"/>
    </row>
    <row r="14" spans="1:10" x14ac:dyDescent="0.2">
      <c r="A14" s="90" t="s">
        <v>55</v>
      </c>
      <c r="B14" s="128" t="s">
        <v>56</v>
      </c>
      <c r="C14" s="231">
        <f>+DISTRIBUTIVO!G18</f>
        <v>2317.5</v>
      </c>
      <c r="D14" s="87"/>
      <c r="E14" s="81"/>
      <c r="F14" s="97"/>
      <c r="G14" s="396"/>
      <c r="H14" s="396"/>
      <c r="I14" s="396"/>
      <c r="J14" s="408"/>
    </row>
    <row r="15" spans="1:10" x14ac:dyDescent="0.2">
      <c r="A15" s="90"/>
      <c r="B15" s="128"/>
      <c r="C15" s="231"/>
      <c r="D15" s="87"/>
      <c r="E15" s="81"/>
      <c r="F15" s="97"/>
      <c r="G15" s="396"/>
      <c r="H15" s="396"/>
      <c r="I15" s="396"/>
      <c r="J15" s="408"/>
    </row>
    <row r="16" spans="1:10" x14ac:dyDescent="0.2">
      <c r="A16" s="85" t="s">
        <v>57</v>
      </c>
      <c r="B16" s="127" t="s">
        <v>58</v>
      </c>
      <c r="C16" s="234">
        <f>+C17</f>
        <v>1140</v>
      </c>
      <c r="D16" s="87"/>
      <c r="E16" s="81"/>
      <c r="F16" s="97"/>
      <c r="G16" s="396"/>
      <c r="H16" s="396"/>
      <c r="I16" s="396"/>
      <c r="J16" s="408"/>
    </row>
    <row r="17" spans="1:10" x14ac:dyDescent="0.2">
      <c r="A17" s="92" t="s">
        <v>423</v>
      </c>
      <c r="B17" s="128" t="s">
        <v>424</v>
      </c>
      <c r="C17" s="231">
        <f>+PARTICIPATIVO!C28</f>
        <v>1140</v>
      </c>
      <c r="D17" s="87"/>
      <c r="E17" s="81"/>
      <c r="F17" s="97"/>
      <c r="G17" s="396"/>
      <c r="H17" s="396"/>
      <c r="I17" s="396"/>
      <c r="J17" s="408"/>
    </row>
    <row r="18" spans="1:10" x14ac:dyDescent="0.2">
      <c r="A18" s="90"/>
      <c r="B18" s="128"/>
      <c r="C18" s="231"/>
      <c r="D18" s="87"/>
      <c r="E18" s="81"/>
      <c r="F18" s="97"/>
      <c r="G18" s="396"/>
      <c r="H18" s="396"/>
      <c r="I18" s="396"/>
      <c r="J18" s="408"/>
    </row>
    <row r="19" spans="1:10" hidden="1" x14ac:dyDescent="0.2">
      <c r="A19" s="85" t="s">
        <v>57</v>
      </c>
      <c r="B19" s="126" t="s">
        <v>58</v>
      </c>
      <c r="C19" s="234">
        <f>+C20+C22</f>
        <v>0</v>
      </c>
      <c r="D19" s="87"/>
      <c r="E19" s="81"/>
      <c r="G19" s="396"/>
      <c r="H19" s="396"/>
      <c r="I19" s="396"/>
      <c r="J19" s="408"/>
    </row>
    <row r="20" spans="1:10" hidden="1" x14ac:dyDescent="0.2">
      <c r="A20" s="91" t="s">
        <v>59</v>
      </c>
      <c r="B20" s="129" t="s">
        <v>60</v>
      </c>
      <c r="C20" s="231">
        <v>0</v>
      </c>
      <c r="D20" s="87"/>
      <c r="E20" s="81"/>
      <c r="G20" s="396"/>
      <c r="H20" s="396"/>
      <c r="I20" s="396"/>
      <c r="J20" s="408"/>
    </row>
    <row r="21" spans="1:10" hidden="1" x14ac:dyDescent="0.2">
      <c r="A21" s="91" t="s">
        <v>61</v>
      </c>
      <c r="B21" s="129" t="s">
        <v>62</v>
      </c>
      <c r="C21" s="231"/>
      <c r="D21" s="87"/>
      <c r="G21" s="396"/>
      <c r="H21" s="396"/>
      <c r="I21" s="396"/>
      <c r="J21" s="408"/>
    </row>
    <row r="22" spans="1:10" hidden="1" x14ac:dyDescent="0.2">
      <c r="A22" s="91" t="s">
        <v>63</v>
      </c>
      <c r="B22" s="129" t="s">
        <v>64</v>
      </c>
      <c r="C22" s="231">
        <v>0</v>
      </c>
      <c r="D22" s="87"/>
      <c r="E22" s="81"/>
      <c r="G22" s="396"/>
      <c r="H22" s="396"/>
      <c r="I22" s="396"/>
      <c r="J22" s="408"/>
    </row>
    <row r="23" spans="1:10" hidden="1" x14ac:dyDescent="0.2">
      <c r="A23" s="91"/>
      <c r="B23" s="129"/>
      <c r="C23" s="231"/>
      <c r="D23" s="87"/>
      <c r="E23" s="81"/>
      <c r="G23" s="396"/>
      <c r="H23" s="396"/>
      <c r="I23" s="396"/>
      <c r="J23" s="408"/>
    </row>
    <row r="24" spans="1:10" x14ac:dyDescent="0.2">
      <c r="A24" s="85" t="s">
        <v>65</v>
      </c>
      <c r="B24" s="126" t="s">
        <v>66</v>
      </c>
      <c r="C24" s="234">
        <f>SUM(C25:C26)</f>
        <v>7347.9832999999999</v>
      </c>
      <c r="D24" s="87"/>
      <c r="E24" s="82"/>
      <c r="G24" s="396"/>
      <c r="H24" s="396"/>
      <c r="I24" s="396"/>
      <c r="J24" s="408"/>
    </row>
    <row r="25" spans="1:10" x14ac:dyDescent="0.2">
      <c r="A25" s="92" t="s">
        <v>67</v>
      </c>
      <c r="B25" s="130" t="s">
        <v>68</v>
      </c>
      <c r="C25" s="231">
        <f>+DISTRIBUTIVO!I18</f>
        <v>4205.1332999999995</v>
      </c>
      <c r="D25" s="87"/>
      <c r="E25" s="81"/>
      <c r="G25" s="396"/>
      <c r="H25" s="396"/>
      <c r="I25" s="396"/>
      <c r="J25" s="408"/>
    </row>
    <row r="26" spans="1:10" x14ac:dyDescent="0.2">
      <c r="A26" s="92" t="s">
        <v>69</v>
      </c>
      <c r="B26" s="130" t="s">
        <v>70</v>
      </c>
      <c r="C26" s="231">
        <f>+DISTRIBUTIVO!H18</f>
        <v>3142.85</v>
      </c>
      <c r="D26" s="87"/>
      <c r="E26" s="81"/>
      <c r="G26" s="396"/>
      <c r="H26" s="396"/>
      <c r="I26" s="396"/>
      <c r="J26" s="408"/>
    </row>
    <row r="27" spans="1:10" x14ac:dyDescent="0.2">
      <c r="A27" s="92"/>
      <c r="B27" s="130"/>
      <c r="C27" s="231"/>
      <c r="D27" s="87"/>
      <c r="E27" s="81"/>
      <c r="G27" s="396"/>
      <c r="H27" s="396"/>
      <c r="I27" s="396"/>
      <c r="J27" s="408"/>
    </row>
    <row r="28" spans="1:10" x14ac:dyDescent="0.2">
      <c r="A28" s="93" t="s">
        <v>71</v>
      </c>
      <c r="B28" s="131" t="s">
        <v>350</v>
      </c>
      <c r="C28" s="87">
        <f>+C29+C35+C41+C45+C49+C51+C55</f>
        <v>4750</v>
      </c>
      <c r="D28" s="87"/>
      <c r="E28" s="81"/>
      <c r="G28" s="396"/>
      <c r="H28" s="396"/>
      <c r="I28" s="396"/>
      <c r="J28" s="408"/>
    </row>
    <row r="29" spans="1:10" x14ac:dyDescent="0.2">
      <c r="A29" s="93" t="s">
        <v>72</v>
      </c>
      <c r="B29" s="131" t="s">
        <v>73</v>
      </c>
      <c r="C29" s="234">
        <f>SUM(C30:C33)</f>
        <v>2400</v>
      </c>
      <c r="D29" s="87"/>
      <c r="E29" s="81"/>
      <c r="G29" s="396"/>
      <c r="H29" s="396"/>
      <c r="I29" s="396"/>
      <c r="J29" s="408"/>
    </row>
    <row r="30" spans="1:10" hidden="1" x14ac:dyDescent="0.2">
      <c r="A30" s="92" t="s">
        <v>199</v>
      </c>
      <c r="B30" s="130" t="s">
        <v>7</v>
      </c>
      <c r="C30" s="231">
        <v>0</v>
      </c>
      <c r="D30" s="86"/>
      <c r="E30" s="81"/>
      <c r="G30" s="396"/>
      <c r="H30" s="396"/>
      <c r="I30" s="396"/>
      <c r="J30" s="408"/>
    </row>
    <row r="31" spans="1:10" x14ac:dyDescent="0.2">
      <c r="A31" s="92" t="s">
        <v>74</v>
      </c>
      <c r="B31" s="130" t="s">
        <v>75</v>
      </c>
      <c r="C31" s="231">
        <f>+PARTICIPATIVO!C29</f>
        <v>800</v>
      </c>
      <c r="D31" s="87"/>
      <c r="E31" s="81"/>
      <c r="G31" s="396"/>
      <c r="H31" s="396"/>
      <c r="I31" s="396"/>
      <c r="J31" s="408"/>
    </row>
    <row r="32" spans="1:10" x14ac:dyDescent="0.2">
      <c r="A32" s="92" t="s">
        <v>368</v>
      </c>
      <c r="B32" s="130" t="s">
        <v>370</v>
      </c>
      <c r="C32" s="231">
        <f>+PARTICIPATIVO!C30</f>
        <v>600</v>
      </c>
      <c r="D32" s="87"/>
      <c r="E32" s="81"/>
      <c r="G32" s="396"/>
      <c r="H32" s="396"/>
      <c r="I32" s="396"/>
      <c r="J32" s="408"/>
    </row>
    <row r="33" spans="1:10" x14ac:dyDescent="0.2">
      <c r="A33" s="92" t="s">
        <v>369</v>
      </c>
      <c r="B33" s="130" t="s">
        <v>371</v>
      </c>
      <c r="C33" s="231">
        <f>+PARTICIPATIVO!C31</f>
        <v>1000</v>
      </c>
      <c r="D33" s="87"/>
      <c r="E33" s="81"/>
      <c r="G33" s="396"/>
      <c r="H33" s="396"/>
      <c r="I33" s="396"/>
      <c r="J33" s="408"/>
    </row>
    <row r="34" spans="1:10" x14ac:dyDescent="0.2">
      <c r="A34" s="92"/>
      <c r="B34" s="130"/>
      <c r="C34" s="231"/>
      <c r="D34" s="87"/>
      <c r="E34" s="81"/>
      <c r="G34" s="396"/>
      <c r="H34" s="396"/>
      <c r="I34" s="396"/>
      <c r="J34" s="408"/>
    </row>
    <row r="35" spans="1:10" x14ac:dyDescent="0.2">
      <c r="A35" s="93" t="s">
        <v>76</v>
      </c>
      <c r="B35" s="131" t="s">
        <v>77</v>
      </c>
      <c r="C35" s="234">
        <f>SUM(C36:C39)</f>
        <v>400</v>
      </c>
      <c r="D35" s="87"/>
      <c r="E35" s="81"/>
      <c r="G35" s="396"/>
      <c r="H35" s="396"/>
      <c r="I35" s="396"/>
      <c r="J35" s="408"/>
    </row>
    <row r="36" spans="1:10" hidden="1" x14ac:dyDescent="0.2">
      <c r="A36" s="92" t="s">
        <v>202</v>
      </c>
      <c r="B36" s="130" t="s">
        <v>122</v>
      </c>
      <c r="C36" s="231">
        <v>0</v>
      </c>
      <c r="D36" s="86"/>
      <c r="E36" s="81"/>
      <c r="G36" s="396"/>
      <c r="H36" s="396"/>
      <c r="I36" s="396"/>
      <c r="J36" s="408"/>
    </row>
    <row r="37" spans="1:10" x14ac:dyDescent="0.2">
      <c r="A37" s="92" t="s">
        <v>105</v>
      </c>
      <c r="B37" s="130" t="s">
        <v>203</v>
      </c>
      <c r="C37" s="231">
        <f>+PARTICIPATIVO!C32</f>
        <v>400</v>
      </c>
      <c r="D37" s="87"/>
      <c r="E37" s="81"/>
      <c r="G37" s="396"/>
      <c r="H37" s="396"/>
      <c r="I37" s="396"/>
      <c r="J37" s="408"/>
    </row>
    <row r="38" spans="1:10" hidden="1" x14ac:dyDescent="0.2">
      <c r="A38" s="92" t="s">
        <v>78</v>
      </c>
      <c r="B38" s="130" t="s">
        <v>79</v>
      </c>
      <c r="C38" s="231">
        <v>0</v>
      </c>
      <c r="D38" s="87"/>
      <c r="E38" s="81"/>
      <c r="G38" s="396"/>
      <c r="H38" s="396"/>
      <c r="I38" s="396"/>
      <c r="J38" s="408"/>
    </row>
    <row r="39" spans="1:10" hidden="1" x14ac:dyDescent="0.2">
      <c r="A39" s="92" t="s">
        <v>80</v>
      </c>
      <c r="B39" s="130" t="s">
        <v>81</v>
      </c>
      <c r="C39" s="231">
        <v>0</v>
      </c>
      <c r="D39" s="87"/>
      <c r="E39" s="81"/>
      <c r="G39" s="396"/>
      <c r="H39" s="396"/>
      <c r="I39" s="396"/>
      <c r="J39" s="408"/>
    </row>
    <row r="40" spans="1:10" x14ac:dyDescent="0.2">
      <c r="A40" s="92"/>
      <c r="B40" s="130"/>
      <c r="C40" s="231"/>
      <c r="D40" s="87"/>
      <c r="E40" s="81"/>
      <c r="G40" s="396"/>
      <c r="H40" s="396"/>
      <c r="I40" s="396"/>
      <c r="J40" s="408"/>
    </row>
    <row r="41" spans="1:10" x14ac:dyDescent="0.2">
      <c r="A41" s="93" t="s">
        <v>82</v>
      </c>
      <c r="B41" s="131" t="s">
        <v>83</v>
      </c>
      <c r="C41" s="234">
        <f>SUM(C42:C43)</f>
        <v>400</v>
      </c>
      <c r="D41" s="87"/>
      <c r="E41" s="81"/>
      <c r="G41" s="396"/>
      <c r="H41" s="396"/>
      <c r="I41" s="396"/>
      <c r="J41" s="408"/>
    </row>
    <row r="42" spans="1:10" x14ac:dyDescent="0.2">
      <c r="A42" s="92" t="s">
        <v>84</v>
      </c>
      <c r="B42" s="130" t="s">
        <v>85</v>
      </c>
      <c r="C42" s="231">
        <f>+PARTICIPATIVO!C36</f>
        <v>250</v>
      </c>
      <c r="D42" s="87"/>
      <c r="E42" s="81"/>
      <c r="G42" s="396"/>
      <c r="H42" s="396"/>
      <c r="I42" s="396"/>
      <c r="J42" s="408"/>
    </row>
    <row r="43" spans="1:10" x14ac:dyDescent="0.2">
      <c r="A43" s="92" t="s">
        <v>86</v>
      </c>
      <c r="B43" s="130" t="s">
        <v>87</v>
      </c>
      <c r="C43" s="231">
        <f>+PARTICIPATIVO!C34</f>
        <v>150</v>
      </c>
      <c r="D43" s="87"/>
      <c r="E43" s="81"/>
      <c r="G43" s="396"/>
      <c r="H43" s="396"/>
      <c r="I43" s="396"/>
      <c r="J43" s="408"/>
    </row>
    <row r="44" spans="1:10" x14ac:dyDescent="0.2">
      <c r="A44" s="92"/>
      <c r="B44" s="130"/>
      <c r="C44" s="231"/>
      <c r="D44" s="87"/>
      <c r="E44" s="81"/>
      <c r="G44" s="396"/>
      <c r="H44" s="396"/>
      <c r="I44" s="396"/>
      <c r="J44" s="408"/>
    </row>
    <row r="45" spans="1:10" ht="22.5" x14ac:dyDescent="0.2">
      <c r="A45" s="93" t="s">
        <v>88</v>
      </c>
      <c r="B45" s="131" t="s">
        <v>476</v>
      </c>
      <c r="C45" s="234">
        <f>+C46</f>
        <v>250</v>
      </c>
      <c r="D45" s="87"/>
      <c r="E45" s="81"/>
      <c r="G45" s="396"/>
      <c r="H45" s="396"/>
      <c r="I45" s="396"/>
      <c r="J45" s="408"/>
    </row>
    <row r="46" spans="1:10" x14ac:dyDescent="0.2">
      <c r="A46" s="92" t="s">
        <v>475</v>
      </c>
      <c r="B46" s="130" t="s">
        <v>477</v>
      </c>
      <c r="C46" s="231">
        <f>+PARTICIPATIVO!C39</f>
        <v>250</v>
      </c>
      <c r="D46" s="87"/>
      <c r="E46" s="81"/>
      <c r="G46" s="396"/>
      <c r="H46" s="396"/>
      <c r="I46" s="396"/>
      <c r="J46" s="408"/>
    </row>
    <row r="47" spans="1:10" x14ac:dyDescent="0.2">
      <c r="A47" s="92"/>
      <c r="B47" s="130"/>
      <c r="C47" s="231"/>
      <c r="D47" s="87"/>
      <c r="E47" s="81"/>
      <c r="G47" s="396"/>
      <c r="H47" s="396"/>
      <c r="I47" s="396"/>
      <c r="J47" s="408"/>
    </row>
    <row r="48" spans="1:10" x14ac:dyDescent="0.2">
      <c r="A48" s="93" t="s">
        <v>232</v>
      </c>
      <c r="B48" s="131" t="s">
        <v>233</v>
      </c>
      <c r="C48" s="234">
        <f>+C49</f>
        <v>100</v>
      </c>
      <c r="D48" s="87"/>
      <c r="E48" s="81"/>
      <c r="G48" s="396"/>
      <c r="H48" s="396"/>
      <c r="I48" s="396"/>
      <c r="J48" s="408"/>
    </row>
    <row r="49" spans="1:10" x14ac:dyDescent="0.2">
      <c r="A49" s="92" t="s">
        <v>231</v>
      </c>
      <c r="B49" s="130" t="s">
        <v>234</v>
      </c>
      <c r="C49" s="231">
        <f>+PARTICIPATIVO!C35</f>
        <v>100</v>
      </c>
      <c r="D49" s="87"/>
      <c r="E49" s="81"/>
      <c r="G49" s="396"/>
      <c r="H49" s="396"/>
      <c r="I49" s="396"/>
      <c r="J49" s="408"/>
    </row>
    <row r="50" spans="1:10" x14ac:dyDescent="0.2">
      <c r="A50" s="92"/>
      <c r="B50" s="130"/>
      <c r="C50" s="231"/>
      <c r="D50" s="87"/>
      <c r="E50" s="81"/>
      <c r="G50" s="396"/>
      <c r="H50" s="396"/>
      <c r="I50" s="396"/>
      <c r="J50" s="408"/>
    </row>
    <row r="51" spans="1:10" x14ac:dyDescent="0.2">
      <c r="A51" s="93" t="s">
        <v>91</v>
      </c>
      <c r="B51" s="131" t="s">
        <v>92</v>
      </c>
      <c r="C51" s="234">
        <f>SUM(C52:C53)</f>
        <v>400</v>
      </c>
      <c r="D51" s="87"/>
      <c r="E51" s="81"/>
      <c r="G51" s="396"/>
      <c r="H51" s="396"/>
      <c r="I51" s="396"/>
      <c r="J51" s="408"/>
    </row>
    <row r="52" spans="1:10" x14ac:dyDescent="0.2">
      <c r="A52" s="92" t="s">
        <v>204</v>
      </c>
      <c r="B52" s="130" t="s">
        <v>205</v>
      </c>
      <c r="C52" s="231">
        <f>+PARTICIPATIVO!C33</f>
        <v>400</v>
      </c>
      <c r="D52" s="87"/>
      <c r="E52" s="81"/>
      <c r="G52" s="396"/>
      <c r="H52" s="396"/>
      <c r="I52" s="396"/>
      <c r="J52" s="408"/>
    </row>
    <row r="53" spans="1:10" hidden="1" x14ac:dyDescent="0.2">
      <c r="A53" s="92" t="s">
        <v>93</v>
      </c>
      <c r="B53" s="130" t="s">
        <v>206</v>
      </c>
      <c r="C53" s="231">
        <v>0</v>
      </c>
      <c r="D53" s="87"/>
      <c r="E53" s="81"/>
      <c r="G53" s="396"/>
      <c r="H53" s="396"/>
      <c r="I53" s="396"/>
      <c r="J53" s="408"/>
    </row>
    <row r="54" spans="1:10" x14ac:dyDescent="0.2">
      <c r="A54" s="92"/>
      <c r="B54" s="130"/>
      <c r="C54" s="231"/>
      <c r="D54" s="87"/>
      <c r="E54" s="81"/>
      <c r="G54" s="396"/>
      <c r="H54" s="396"/>
      <c r="I54" s="396"/>
      <c r="J54" s="408"/>
    </row>
    <row r="55" spans="1:10" x14ac:dyDescent="0.2">
      <c r="A55" s="93" t="s">
        <v>94</v>
      </c>
      <c r="B55" s="131" t="s">
        <v>95</v>
      </c>
      <c r="C55" s="234">
        <f>SUM(C56:C58)</f>
        <v>800</v>
      </c>
      <c r="D55" s="87"/>
      <c r="E55" s="81"/>
      <c r="G55" s="396"/>
      <c r="H55" s="396"/>
      <c r="I55" s="396"/>
      <c r="J55" s="408"/>
    </row>
    <row r="56" spans="1:10" ht="22.5" x14ac:dyDescent="0.2">
      <c r="A56" s="92" t="s">
        <v>96</v>
      </c>
      <c r="B56" s="130" t="s">
        <v>474</v>
      </c>
      <c r="C56" s="231">
        <f>+PARTICIPATIVO!C43</f>
        <v>300</v>
      </c>
      <c r="D56" s="87"/>
      <c r="E56" s="81"/>
      <c r="G56" s="396"/>
      <c r="H56" s="396"/>
      <c r="I56" s="396"/>
      <c r="J56" s="408"/>
    </row>
    <row r="57" spans="1:10" x14ac:dyDescent="0.2">
      <c r="A57" s="92" t="s">
        <v>97</v>
      </c>
      <c r="B57" s="130" t="s">
        <v>98</v>
      </c>
      <c r="C57" s="231">
        <f>+PARTICIPATIVO!C37</f>
        <v>350</v>
      </c>
      <c r="D57" s="87"/>
      <c r="E57" s="81"/>
      <c r="G57" s="396"/>
      <c r="H57" s="396"/>
      <c r="I57" s="396"/>
      <c r="J57" s="408"/>
    </row>
    <row r="58" spans="1:10" x14ac:dyDescent="0.2">
      <c r="A58" s="92" t="s">
        <v>99</v>
      </c>
      <c r="B58" s="130" t="s">
        <v>100</v>
      </c>
      <c r="C58" s="231">
        <f>+PARTICIPATIVO!C38</f>
        <v>150</v>
      </c>
      <c r="D58" s="87"/>
      <c r="E58" s="81"/>
      <c r="G58" s="396"/>
      <c r="H58" s="396"/>
      <c r="I58" s="396"/>
      <c r="J58" s="408"/>
    </row>
    <row r="59" spans="1:10" x14ac:dyDescent="0.2">
      <c r="A59" s="92"/>
      <c r="B59" s="130"/>
      <c r="C59" s="231"/>
      <c r="D59" s="87"/>
      <c r="E59" s="81"/>
      <c r="G59" s="396"/>
      <c r="H59" s="396"/>
      <c r="I59" s="396"/>
      <c r="J59" s="408"/>
    </row>
    <row r="60" spans="1:10" x14ac:dyDescent="0.2">
      <c r="A60" s="92"/>
      <c r="B60" s="130"/>
      <c r="C60" s="231"/>
      <c r="D60" s="87"/>
      <c r="E60" s="81"/>
      <c r="G60" s="396"/>
      <c r="H60" s="396"/>
      <c r="I60" s="396"/>
      <c r="J60" s="408"/>
    </row>
    <row r="61" spans="1:10" x14ac:dyDescent="0.2">
      <c r="A61" s="85" t="s">
        <v>101</v>
      </c>
      <c r="B61" s="126" t="s">
        <v>349</v>
      </c>
      <c r="C61" s="245">
        <f>+C62</f>
        <v>530</v>
      </c>
      <c r="D61" s="87"/>
      <c r="E61" s="81"/>
      <c r="G61" s="396"/>
      <c r="H61" s="396"/>
      <c r="I61" s="396"/>
      <c r="J61" s="408"/>
    </row>
    <row r="62" spans="1:10" x14ac:dyDescent="0.2">
      <c r="A62" s="93" t="s">
        <v>102</v>
      </c>
      <c r="B62" s="131" t="s">
        <v>103</v>
      </c>
      <c r="C62" s="234">
        <f>SUM(C63:C64)</f>
        <v>530</v>
      </c>
      <c r="D62" s="87"/>
      <c r="E62" s="81"/>
      <c r="G62" s="396"/>
      <c r="H62" s="396"/>
      <c r="I62" s="396"/>
      <c r="J62" s="408"/>
    </row>
    <row r="63" spans="1:10" x14ac:dyDescent="0.2">
      <c r="A63" s="92" t="s">
        <v>104</v>
      </c>
      <c r="B63" s="130" t="s">
        <v>207</v>
      </c>
      <c r="C63" s="231">
        <f>+PARTICIPATIVO!C44</f>
        <v>450</v>
      </c>
      <c r="D63" s="87"/>
      <c r="E63" s="81"/>
      <c r="G63" s="396"/>
      <c r="H63" s="396"/>
      <c r="I63" s="396"/>
      <c r="J63" s="408"/>
    </row>
    <row r="64" spans="1:10" x14ac:dyDescent="0.2">
      <c r="A64" s="92" t="s">
        <v>106</v>
      </c>
      <c r="B64" s="130" t="s">
        <v>107</v>
      </c>
      <c r="C64" s="231">
        <f>+PARTICIPATIVO!C42</f>
        <v>80</v>
      </c>
      <c r="D64" s="94"/>
      <c r="E64" s="81"/>
      <c r="G64" s="396"/>
      <c r="H64" s="396"/>
      <c r="I64" s="396"/>
      <c r="J64" s="408"/>
    </row>
    <row r="65" spans="1:10" x14ac:dyDescent="0.2">
      <c r="A65" s="92"/>
      <c r="B65" s="130"/>
      <c r="C65" s="231"/>
      <c r="D65" s="94"/>
      <c r="E65" s="81"/>
      <c r="F65" s="98"/>
      <c r="G65" s="396"/>
      <c r="H65" s="396"/>
      <c r="I65" s="396"/>
      <c r="J65" s="408"/>
    </row>
    <row r="66" spans="1:10" x14ac:dyDescent="0.2">
      <c r="A66" s="85" t="s">
        <v>130</v>
      </c>
      <c r="B66" s="126" t="s">
        <v>348</v>
      </c>
      <c r="C66" s="245">
        <f>+C67+C70</f>
        <v>5731.25</v>
      </c>
      <c r="D66" s="94"/>
      <c r="E66" s="81"/>
      <c r="G66" s="396"/>
      <c r="H66" s="396"/>
      <c r="I66" s="396"/>
      <c r="J66" s="408"/>
    </row>
    <row r="67" spans="1:10" x14ac:dyDescent="0.2">
      <c r="A67" s="93" t="s">
        <v>131</v>
      </c>
      <c r="B67" s="131" t="s">
        <v>132</v>
      </c>
      <c r="C67" s="234">
        <f>C68</f>
        <v>5381.25</v>
      </c>
      <c r="D67" s="94"/>
      <c r="E67" s="81"/>
      <c r="G67" s="396"/>
      <c r="H67" s="396"/>
      <c r="I67" s="396"/>
      <c r="J67" s="408"/>
    </row>
    <row r="68" spans="1:10" x14ac:dyDescent="0.2">
      <c r="A68" s="92" t="s">
        <v>133</v>
      </c>
      <c r="B68" s="130" t="s">
        <v>208</v>
      </c>
      <c r="C68" s="231">
        <f>+PARTICIPATIVO!C46+PARTICIPATIVO!C45</f>
        <v>5381.25</v>
      </c>
      <c r="D68" s="87"/>
      <c r="E68" s="81"/>
      <c r="G68" s="396"/>
      <c r="H68" s="396"/>
      <c r="I68" s="396"/>
      <c r="J68" s="408"/>
    </row>
    <row r="69" spans="1:10" x14ac:dyDescent="0.2">
      <c r="A69" s="92"/>
      <c r="B69" s="130"/>
      <c r="C69" s="231"/>
      <c r="D69" s="94"/>
      <c r="E69" s="81"/>
      <c r="G69" s="396"/>
      <c r="H69" s="396"/>
      <c r="I69" s="396"/>
      <c r="J69" s="408"/>
    </row>
    <row r="70" spans="1:10" x14ac:dyDescent="0.2">
      <c r="A70" s="93" t="s">
        <v>209</v>
      </c>
      <c r="B70" s="131" t="s">
        <v>210</v>
      </c>
      <c r="C70" s="234">
        <f>SUM(C71)</f>
        <v>350</v>
      </c>
      <c r="D70" s="94"/>
      <c r="E70" s="81"/>
      <c r="G70" s="396"/>
      <c r="H70" s="396"/>
      <c r="I70" s="396"/>
      <c r="J70" s="408"/>
    </row>
    <row r="71" spans="1:10" x14ac:dyDescent="0.2">
      <c r="A71" s="92" t="s">
        <v>211</v>
      </c>
      <c r="B71" s="130" t="s">
        <v>212</v>
      </c>
      <c r="C71" s="231">
        <f>+PARTICIPATIVO!C47</f>
        <v>350</v>
      </c>
      <c r="D71" s="94"/>
      <c r="E71" s="81"/>
      <c r="G71" s="396"/>
      <c r="H71" s="396"/>
      <c r="I71" s="396"/>
      <c r="J71" s="408"/>
    </row>
    <row r="72" spans="1:10" x14ac:dyDescent="0.2">
      <c r="A72" s="96"/>
      <c r="B72" s="132"/>
      <c r="D72" s="94"/>
      <c r="E72" s="81"/>
      <c r="G72" s="396"/>
      <c r="H72" s="396"/>
      <c r="I72" s="396"/>
      <c r="J72" s="408"/>
    </row>
    <row r="73" spans="1:10" x14ac:dyDescent="0.2">
      <c r="A73" s="221" t="s">
        <v>128</v>
      </c>
      <c r="B73" s="221" t="s">
        <v>478</v>
      </c>
      <c r="C73" s="81"/>
      <c r="D73" s="94"/>
      <c r="E73" s="81"/>
      <c r="G73" s="396"/>
      <c r="H73" s="396"/>
      <c r="I73" s="396"/>
      <c r="J73" s="408"/>
    </row>
    <row r="74" spans="1:10" ht="33.75" x14ac:dyDescent="0.2">
      <c r="A74" s="221" t="s">
        <v>345</v>
      </c>
      <c r="B74" s="221" t="s">
        <v>511</v>
      </c>
      <c r="C74" s="81"/>
      <c r="E74" s="81"/>
      <c r="G74" s="396"/>
      <c r="H74" s="396"/>
      <c r="I74" s="396"/>
      <c r="J74" s="408"/>
    </row>
    <row r="75" spans="1:10" x14ac:dyDescent="0.2">
      <c r="A75" s="85" t="s">
        <v>43</v>
      </c>
      <c r="B75" s="126" t="s">
        <v>44</v>
      </c>
      <c r="C75" s="87"/>
      <c r="E75" s="81"/>
      <c r="G75" s="396"/>
      <c r="H75" s="396"/>
      <c r="I75" s="396"/>
      <c r="J75" s="408"/>
    </row>
    <row r="76" spans="1:10" x14ac:dyDescent="0.2">
      <c r="A76" s="85" t="s">
        <v>372</v>
      </c>
      <c r="B76" s="126" t="s">
        <v>373</v>
      </c>
      <c r="C76" s="87"/>
      <c r="E76" s="81"/>
      <c r="G76" s="396"/>
      <c r="H76" s="396"/>
      <c r="I76" s="396"/>
      <c r="J76" s="408"/>
    </row>
    <row r="77" spans="1:10" x14ac:dyDescent="0.2">
      <c r="A77" s="85" t="s">
        <v>108</v>
      </c>
      <c r="B77" s="126" t="s">
        <v>351</v>
      </c>
      <c r="C77" s="87">
        <f>+C78</f>
        <v>4635</v>
      </c>
      <c r="D77" s="87" t="s">
        <v>45</v>
      </c>
      <c r="E77" s="81"/>
      <c r="G77" s="396"/>
      <c r="H77" s="396"/>
      <c r="I77" s="396"/>
      <c r="J77" s="408"/>
    </row>
    <row r="78" spans="1:10" x14ac:dyDescent="0.2">
      <c r="A78" s="85" t="s">
        <v>109</v>
      </c>
      <c r="B78" s="126" t="s">
        <v>48</v>
      </c>
      <c r="C78" s="87">
        <f>+C79</f>
        <v>4635</v>
      </c>
      <c r="D78" s="87">
        <f>+C77+C81+C85</f>
        <v>5924.3024999999998</v>
      </c>
      <c r="E78" s="81"/>
      <c r="G78" s="396">
        <v>0</v>
      </c>
      <c r="H78" s="396">
        <v>0</v>
      </c>
      <c r="I78" s="397">
        <f>D78</f>
        <v>5924.3024999999998</v>
      </c>
      <c r="J78" s="408">
        <f>I78</f>
        <v>5924.3024999999998</v>
      </c>
    </row>
    <row r="79" spans="1:10" x14ac:dyDescent="0.2">
      <c r="A79" s="88" t="s">
        <v>110</v>
      </c>
      <c r="B79" s="100" t="s">
        <v>50</v>
      </c>
      <c r="C79" s="86">
        <f>+DISTRIBUTIVO!E28</f>
        <v>4635</v>
      </c>
      <c r="D79" s="87"/>
      <c r="E79" s="81"/>
      <c r="G79" s="396"/>
      <c r="H79" s="396"/>
      <c r="I79" s="396"/>
      <c r="J79" s="408"/>
    </row>
    <row r="80" spans="1:10" x14ac:dyDescent="0.2">
      <c r="A80" s="85"/>
      <c r="B80" s="126"/>
      <c r="C80" s="87"/>
      <c r="D80" s="87"/>
      <c r="E80" s="81"/>
      <c r="G80" s="396"/>
      <c r="H80" s="396"/>
      <c r="I80" s="396"/>
      <c r="J80" s="408"/>
    </row>
    <row r="81" spans="1:10" x14ac:dyDescent="0.2">
      <c r="A81" s="85" t="s">
        <v>111</v>
      </c>
      <c r="B81" s="126" t="s">
        <v>52</v>
      </c>
      <c r="C81" s="87">
        <f>+C82+C83</f>
        <v>772.5</v>
      </c>
      <c r="D81" s="87"/>
      <c r="E81" s="81"/>
      <c r="G81" s="396"/>
      <c r="H81" s="396"/>
      <c r="I81" s="396"/>
      <c r="J81" s="408"/>
    </row>
    <row r="82" spans="1:10" x14ac:dyDescent="0.2">
      <c r="A82" s="88" t="s">
        <v>112</v>
      </c>
      <c r="B82" s="100" t="s">
        <v>54</v>
      </c>
      <c r="C82" s="86">
        <f>+DISTRIBUTIVO!F28</f>
        <v>386.25</v>
      </c>
      <c r="D82" s="87"/>
      <c r="E82" s="81"/>
      <c r="G82" s="396"/>
      <c r="H82" s="396"/>
      <c r="I82" s="396"/>
      <c r="J82" s="408"/>
    </row>
    <row r="83" spans="1:10" x14ac:dyDescent="0.2">
      <c r="A83" s="88" t="s">
        <v>113</v>
      </c>
      <c r="B83" s="100" t="s">
        <v>56</v>
      </c>
      <c r="C83" s="86">
        <f>+DISTRIBUTIVO!G28</f>
        <v>386.25</v>
      </c>
      <c r="D83" s="87"/>
      <c r="E83" s="81"/>
      <c r="G83" s="396"/>
      <c r="H83" s="396"/>
      <c r="I83" s="396"/>
      <c r="J83" s="408"/>
    </row>
    <row r="84" spans="1:10" x14ac:dyDescent="0.2">
      <c r="A84" s="85"/>
      <c r="B84" s="126"/>
      <c r="C84" s="87"/>
      <c r="D84" s="87"/>
      <c r="E84" s="81"/>
      <c r="G84" s="396"/>
      <c r="H84" s="396"/>
      <c r="I84" s="396"/>
      <c r="J84" s="408"/>
    </row>
    <row r="85" spans="1:10" x14ac:dyDescent="0.2">
      <c r="A85" s="85" t="s">
        <v>117</v>
      </c>
      <c r="B85" s="126" t="s">
        <v>66</v>
      </c>
      <c r="C85" s="87">
        <f>+C86</f>
        <v>516.80250000000001</v>
      </c>
      <c r="D85" s="87"/>
      <c r="E85" s="81"/>
      <c r="G85" s="396"/>
      <c r="H85" s="396"/>
      <c r="I85" s="396"/>
      <c r="J85" s="408"/>
    </row>
    <row r="86" spans="1:10" x14ac:dyDescent="0.2">
      <c r="A86" s="88" t="s">
        <v>118</v>
      </c>
      <c r="B86" s="100" t="s">
        <v>68</v>
      </c>
      <c r="C86" s="86">
        <f>+DISTRIBUTIVO!I28</f>
        <v>516.80250000000001</v>
      </c>
      <c r="D86" s="87"/>
      <c r="E86" s="81"/>
      <c r="G86" s="396"/>
      <c r="H86" s="396"/>
      <c r="I86" s="396"/>
      <c r="J86" s="408"/>
    </row>
    <row r="87" spans="1:10" x14ac:dyDescent="0.2">
      <c r="A87" s="96"/>
      <c r="B87" s="132"/>
      <c r="D87" s="87"/>
      <c r="E87" s="81"/>
      <c r="G87" s="396"/>
      <c r="H87" s="396"/>
      <c r="I87" s="396"/>
      <c r="J87" s="408"/>
    </row>
    <row r="88" spans="1:10" x14ac:dyDescent="0.2">
      <c r="A88" s="221" t="s">
        <v>128</v>
      </c>
      <c r="B88" s="221" t="s">
        <v>479</v>
      </c>
      <c r="D88" s="87"/>
      <c r="E88" s="81"/>
      <c r="G88" s="396"/>
      <c r="H88" s="396"/>
      <c r="I88" s="396"/>
      <c r="J88" s="408"/>
    </row>
    <row r="89" spans="1:10" ht="33.75" x14ac:dyDescent="0.2">
      <c r="A89" s="221" t="s">
        <v>345</v>
      </c>
      <c r="B89" s="221" t="s">
        <v>432</v>
      </c>
      <c r="E89" s="81"/>
      <c r="G89" s="396"/>
      <c r="H89" s="396"/>
      <c r="I89" s="396"/>
      <c r="J89" s="408"/>
    </row>
    <row r="90" spans="1:10" x14ac:dyDescent="0.2">
      <c r="A90" s="85" t="s">
        <v>43</v>
      </c>
      <c r="B90" s="126" t="s">
        <v>44</v>
      </c>
      <c r="C90" s="234"/>
      <c r="G90" s="396"/>
      <c r="H90" s="396"/>
      <c r="I90" s="396"/>
      <c r="J90" s="408"/>
    </row>
    <row r="91" spans="1:10" x14ac:dyDescent="0.2">
      <c r="A91" s="85" t="s">
        <v>108</v>
      </c>
      <c r="B91" s="126" t="s">
        <v>218</v>
      </c>
      <c r="C91" s="234"/>
      <c r="G91" s="396"/>
      <c r="H91" s="396"/>
      <c r="I91" s="396"/>
      <c r="J91" s="408"/>
    </row>
    <row r="92" spans="1:10" x14ac:dyDescent="0.2">
      <c r="A92" s="85" t="s">
        <v>109</v>
      </c>
      <c r="B92" s="126" t="s">
        <v>48</v>
      </c>
      <c r="C92" s="234">
        <f>+C93</f>
        <v>0</v>
      </c>
      <c r="D92" s="87" t="s">
        <v>45</v>
      </c>
      <c r="G92" s="396"/>
      <c r="H92" s="396"/>
      <c r="I92" s="396"/>
      <c r="J92" s="408"/>
    </row>
    <row r="93" spans="1:10" hidden="1" x14ac:dyDescent="0.2">
      <c r="A93" s="88" t="s">
        <v>110</v>
      </c>
      <c r="B93" s="100" t="s">
        <v>50</v>
      </c>
      <c r="C93" s="231">
        <f>+DISTRIBUTIVO!E42</f>
        <v>0</v>
      </c>
      <c r="D93" s="87">
        <f>+C92+C95+C102+C99</f>
        <v>0</v>
      </c>
      <c r="G93" s="396"/>
      <c r="H93" s="396"/>
      <c r="I93" s="396"/>
      <c r="J93" s="408"/>
    </row>
    <row r="94" spans="1:10" hidden="1" x14ac:dyDescent="0.2">
      <c r="A94" s="88"/>
      <c r="B94" s="100"/>
      <c r="C94" s="231"/>
      <c r="D94" s="87"/>
      <c r="G94" s="396"/>
      <c r="H94" s="396"/>
      <c r="I94" s="396"/>
      <c r="J94" s="408"/>
    </row>
    <row r="95" spans="1:10" hidden="1" x14ac:dyDescent="0.2">
      <c r="A95" s="85" t="s">
        <v>111</v>
      </c>
      <c r="B95" s="126" t="s">
        <v>52</v>
      </c>
      <c r="C95" s="234">
        <f>+C96+C97</f>
        <v>0</v>
      </c>
      <c r="D95" s="87"/>
      <c r="G95" s="396"/>
      <c r="H95" s="396"/>
      <c r="I95" s="396"/>
      <c r="J95" s="408"/>
    </row>
    <row r="96" spans="1:10" hidden="1" x14ac:dyDescent="0.2">
      <c r="A96" s="88" t="s">
        <v>112</v>
      </c>
      <c r="B96" s="100" t="s">
        <v>54</v>
      </c>
      <c r="C96" s="231">
        <v>0</v>
      </c>
      <c r="D96" s="87"/>
      <c r="G96" s="396"/>
      <c r="H96" s="396"/>
      <c r="I96" s="396"/>
      <c r="J96" s="408"/>
    </row>
    <row r="97" spans="1:11" hidden="1" x14ac:dyDescent="0.2">
      <c r="A97" s="88" t="s">
        <v>113</v>
      </c>
      <c r="B97" s="100" t="s">
        <v>56</v>
      </c>
      <c r="C97" s="231">
        <v>0</v>
      </c>
      <c r="D97" s="87"/>
      <c r="G97" s="396"/>
      <c r="H97" s="396"/>
      <c r="I97" s="396"/>
      <c r="J97" s="408"/>
    </row>
    <row r="98" spans="1:11" hidden="1" x14ac:dyDescent="0.2">
      <c r="A98" s="88"/>
      <c r="B98" s="100"/>
      <c r="C98" s="231"/>
      <c r="D98" s="87"/>
      <c r="G98" s="396"/>
      <c r="H98" s="396"/>
      <c r="I98" s="396"/>
      <c r="J98" s="408"/>
    </row>
    <row r="99" spans="1:11" hidden="1" x14ac:dyDescent="0.2">
      <c r="A99" s="85" t="s">
        <v>114</v>
      </c>
      <c r="B99" s="126" t="s">
        <v>58</v>
      </c>
      <c r="C99" s="234">
        <f>+C100</f>
        <v>0</v>
      </c>
      <c r="D99" s="87"/>
      <c r="G99" s="396"/>
      <c r="H99" s="396"/>
      <c r="I99" s="396"/>
      <c r="J99" s="408"/>
    </row>
    <row r="100" spans="1:11" hidden="1" x14ac:dyDescent="0.2">
      <c r="A100" s="92" t="s">
        <v>115</v>
      </c>
      <c r="B100" s="130" t="s">
        <v>116</v>
      </c>
      <c r="C100" s="231">
        <v>0</v>
      </c>
      <c r="D100" s="87"/>
      <c r="G100" s="396"/>
      <c r="H100" s="396"/>
      <c r="I100" s="396"/>
      <c r="J100" s="408"/>
    </row>
    <row r="101" spans="1:11" hidden="1" x14ac:dyDescent="0.2">
      <c r="A101" s="98"/>
      <c r="B101" s="133"/>
      <c r="C101" s="231"/>
      <c r="D101" s="87"/>
      <c r="E101" s="80"/>
      <c r="G101" s="396"/>
      <c r="H101" s="396"/>
      <c r="I101" s="396"/>
      <c r="J101" s="408"/>
    </row>
    <row r="102" spans="1:11" hidden="1" x14ac:dyDescent="0.2">
      <c r="A102" s="85" t="s">
        <v>117</v>
      </c>
      <c r="B102" s="126" t="s">
        <v>66</v>
      </c>
      <c r="C102" s="234">
        <f>+C103+C104</f>
        <v>0</v>
      </c>
      <c r="D102" s="87"/>
      <c r="E102" s="80"/>
      <c r="G102" s="396"/>
      <c r="H102" s="396"/>
      <c r="I102" s="396"/>
      <c r="J102" s="408"/>
    </row>
    <row r="103" spans="1:11" hidden="1" x14ac:dyDescent="0.2">
      <c r="A103" s="88" t="s">
        <v>118</v>
      </c>
      <c r="B103" s="100" t="s">
        <v>68</v>
      </c>
      <c r="C103" s="231">
        <v>0</v>
      </c>
      <c r="D103" s="87"/>
      <c r="E103" s="80"/>
      <c r="G103" s="396"/>
      <c r="H103" s="396"/>
      <c r="I103" s="396"/>
      <c r="J103" s="408"/>
    </row>
    <row r="104" spans="1:11" hidden="1" x14ac:dyDescent="0.2">
      <c r="A104" s="88" t="s">
        <v>119</v>
      </c>
      <c r="B104" s="100" t="s">
        <v>70</v>
      </c>
      <c r="C104" s="231">
        <v>0</v>
      </c>
      <c r="D104" s="87"/>
      <c r="E104" s="80"/>
      <c r="G104" s="396"/>
      <c r="H104" s="396"/>
      <c r="I104" s="396"/>
      <c r="J104" s="408"/>
    </row>
    <row r="105" spans="1:11" hidden="1" x14ac:dyDescent="0.2">
      <c r="A105" s="88"/>
      <c r="B105" s="100"/>
      <c r="C105" s="231"/>
      <c r="D105" s="87"/>
      <c r="E105" s="80"/>
      <c r="G105" s="396"/>
      <c r="H105" s="396"/>
      <c r="I105" s="396"/>
      <c r="J105" s="408"/>
    </row>
    <row r="106" spans="1:11" hidden="1" x14ac:dyDescent="0.2">
      <c r="A106" s="85" t="s">
        <v>372</v>
      </c>
      <c r="B106" s="126" t="s">
        <v>373</v>
      </c>
      <c r="C106" s="231"/>
      <c r="D106" s="87"/>
      <c r="E106" s="80"/>
      <c r="G106" s="396"/>
      <c r="H106" s="396"/>
      <c r="I106" s="396"/>
      <c r="J106" s="408"/>
    </row>
    <row r="107" spans="1:11" hidden="1" x14ac:dyDescent="0.2">
      <c r="A107" s="229" t="s">
        <v>120</v>
      </c>
      <c r="B107" s="230" t="s">
        <v>374</v>
      </c>
      <c r="C107" s="234">
        <f>+C109+C112+C115</f>
        <v>9500</v>
      </c>
      <c r="D107" s="87"/>
      <c r="E107" s="80"/>
      <c r="G107" s="396"/>
      <c r="H107" s="396"/>
      <c r="I107" s="396"/>
      <c r="J107" s="408"/>
    </row>
    <row r="108" spans="1:11" x14ac:dyDescent="0.2">
      <c r="A108" s="88"/>
      <c r="B108" s="126"/>
      <c r="C108" s="231"/>
      <c r="D108" s="224">
        <f>+C107</f>
        <v>9500</v>
      </c>
      <c r="E108" s="80"/>
      <c r="G108" s="396">
        <v>0</v>
      </c>
      <c r="H108" s="396">
        <v>0</v>
      </c>
      <c r="I108" s="397">
        <f>D108</f>
        <v>9500</v>
      </c>
      <c r="J108" s="408">
        <f>I110+I116+I113+I118+I117</f>
        <v>11112.44</v>
      </c>
    </row>
    <row r="109" spans="1:11" x14ac:dyDescent="0.2">
      <c r="A109" s="85" t="s">
        <v>123</v>
      </c>
      <c r="B109" s="126" t="s">
        <v>375</v>
      </c>
      <c r="C109" s="234">
        <f>+C110</f>
        <v>1000</v>
      </c>
      <c r="D109" s="87"/>
      <c r="E109" s="80"/>
      <c r="G109" s="396"/>
      <c r="H109" s="396"/>
      <c r="I109" s="396"/>
      <c r="J109" s="408"/>
      <c r="K109" s="357">
        <f>J108+J140</f>
        <v>15500</v>
      </c>
    </row>
    <row r="110" spans="1:11" x14ac:dyDescent="0.2">
      <c r="A110" s="88" t="s">
        <v>354</v>
      </c>
      <c r="B110" s="100" t="s">
        <v>386</v>
      </c>
      <c r="C110" s="231">
        <v>1000</v>
      </c>
      <c r="D110" s="87"/>
      <c r="E110" s="80"/>
      <c r="G110" s="396">
        <v>1615</v>
      </c>
      <c r="H110" s="396"/>
      <c r="I110" s="399">
        <f>C110+G110</f>
        <v>2615</v>
      </c>
      <c r="J110" s="408"/>
    </row>
    <row r="111" spans="1:11" x14ac:dyDescent="0.2">
      <c r="A111" s="88"/>
      <c r="B111" s="126"/>
      <c r="C111" s="231"/>
      <c r="D111" s="87"/>
      <c r="E111" s="80"/>
      <c r="G111" s="396"/>
      <c r="H111" s="396"/>
      <c r="I111" s="396"/>
      <c r="J111" s="408"/>
    </row>
    <row r="112" spans="1:11" ht="22.5" x14ac:dyDescent="0.2">
      <c r="A112" s="85" t="s">
        <v>124</v>
      </c>
      <c r="B112" s="126" t="s">
        <v>443</v>
      </c>
      <c r="C112" s="234">
        <f>+C113</f>
        <v>3000</v>
      </c>
      <c r="D112" s="86"/>
      <c r="E112" s="80"/>
      <c r="G112" s="396"/>
      <c r="H112" s="396"/>
      <c r="I112" s="396"/>
      <c r="J112" s="408"/>
    </row>
    <row r="113" spans="1:10" x14ac:dyDescent="0.2">
      <c r="A113" s="88" t="s">
        <v>125</v>
      </c>
      <c r="B113" s="100" t="s">
        <v>377</v>
      </c>
      <c r="C113" s="231">
        <v>3000</v>
      </c>
      <c r="D113" s="87"/>
      <c r="E113" s="80"/>
      <c r="G113" s="396">
        <v>136.4</v>
      </c>
      <c r="H113" s="396"/>
      <c r="I113" s="399">
        <f>C113+G113</f>
        <v>3136.4</v>
      </c>
      <c r="J113" s="408"/>
    </row>
    <row r="114" spans="1:10" x14ac:dyDescent="0.2">
      <c r="A114" s="80"/>
      <c r="B114" s="80"/>
      <c r="C114" s="231"/>
      <c r="D114" s="87"/>
      <c r="E114" s="80"/>
      <c r="G114" s="396"/>
      <c r="H114" s="396"/>
      <c r="I114" s="396"/>
      <c r="J114" s="408"/>
    </row>
    <row r="115" spans="1:10" x14ac:dyDescent="0.2">
      <c r="A115" s="85" t="s">
        <v>126</v>
      </c>
      <c r="B115" s="126" t="s">
        <v>330</v>
      </c>
      <c r="C115" s="234">
        <f>SUM(C116:C118)</f>
        <v>5500</v>
      </c>
      <c r="D115" s="87"/>
      <c r="E115" s="80"/>
      <c r="G115" s="396"/>
      <c r="H115" s="396"/>
      <c r="I115" s="396"/>
      <c r="J115" s="408"/>
    </row>
    <row r="116" spans="1:10" x14ac:dyDescent="0.2">
      <c r="A116" s="88" t="s">
        <v>146</v>
      </c>
      <c r="B116" s="100" t="s">
        <v>147</v>
      </c>
      <c r="C116" s="231">
        <v>3000</v>
      </c>
      <c r="D116" s="87"/>
      <c r="E116" s="80"/>
      <c r="G116" s="396">
        <v>311.04000000000002</v>
      </c>
      <c r="H116" s="396"/>
      <c r="I116" s="399">
        <f>C116+G116</f>
        <v>3311.04</v>
      </c>
      <c r="J116" s="408"/>
    </row>
    <row r="117" spans="1:10" ht="22.5" x14ac:dyDescent="0.2">
      <c r="A117" s="88" t="s">
        <v>328</v>
      </c>
      <c r="B117" s="100" t="s">
        <v>480</v>
      </c>
      <c r="C117" s="231">
        <v>1500</v>
      </c>
      <c r="D117" s="87"/>
      <c r="E117" s="80"/>
      <c r="G117" s="396"/>
      <c r="H117" s="396"/>
      <c r="I117" s="396">
        <v>1500</v>
      </c>
      <c r="J117" s="408"/>
    </row>
    <row r="118" spans="1:10" ht="22.5" x14ac:dyDescent="0.2">
      <c r="A118" s="88" t="s">
        <v>213</v>
      </c>
      <c r="B118" s="100" t="s">
        <v>481</v>
      </c>
      <c r="C118" s="231">
        <v>1000</v>
      </c>
      <c r="D118" s="86"/>
      <c r="E118" s="80"/>
      <c r="G118" s="396"/>
      <c r="H118" s="396">
        <v>450</v>
      </c>
      <c r="I118" s="399">
        <f>C118-H118</f>
        <v>550</v>
      </c>
      <c r="J118" s="408"/>
    </row>
    <row r="119" spans="1:10" x14ac:dyDescent="0.2">
      <c r="C119" s="293"/>
      <c r="D119" s="86"/>
      <c r="E119" s="80"/>
      <c r="G119" s="396"/>
      <c r="H119" s="396"/>
      <c r="I119" s="396"/>
      <c r="J119" s="408"/>
    </row>
    <row r="120" spans="1:10" hidden="1" x14ac:dyDescent="0.2">
      <c r="A120" s="85" t="s">
        <v>120</v>
      </c>
      <c r="B120" s="126" t="s">
        <v>217</v>
      </c>
      <c r="C120" s="231"/>
      <c r="E120" s="80"/>
      <c r="G120" s="396"/>
      <c r="H120" s="396"/>
      <c r="I120" s="396"/>
      <c r="J120" s="408"/>
    </row>
    <row r="121" spans="1:10" hidden="1" x14ac:dyDescent="0.2">
      <c r="A121" s="85" t="s">
        <v>121</v>
      </c>
      <c r="B121" s="126" t="s">
        <v>77</v>
      </c>
      <c r="C121" s="234">
        <f>+C122+C123</f>
        <v>0</v>
      </c>
      <c r="D121" s="292"/>
      <c r="E121" s="80"/>
      <c r="G121" s="396"/>
      <c r="H121" s="396"/>
      <c r="I121" s="396"/>
      <c r="J121" s="408"/>
    </row>
    <row r="122" spans="1:10" hidden="1" x14ac:dyDescent="0.2">
      <c r="A122" s="88" t="s">
        <v>221</v>
      </c>
      <c r="B122" s="100" t="s">
        <v>222</v>
      </c>
      <c r="C122" s="231"/>
      <c r="D122" s="87">
        <f>C126+C129+C121</f>
        <v>0</v>
      </c>
      <c r="E122" s="140"/>
      <c r="F122" s="95"/>
      <c r="G122" s="396"/>
      <c r="H122" s="396"/>
      <c r="I122" s="396"/>
      <c r="J122" s="408"/>
    </row>
    <row r="123" spans="1:10" hidden="1" x14ac:dyDescent="0.2">
      <c r="A123" s="85"/>
      <c r="B123" s="126"/>
      <c r="C123" s="234"/>
      <c r="D123" s="87"/>
      <c r="E123" s="80"/>
      <c r="G123" s="396"/>
      <c r="H123" s="396"/>
      <c r="I123" s="396"/>
      <c r="J123" s="408"/>
    </row>
    <row r="124" spans="1:10" hidden="1" x14ac:dyDescent="0.2">
      <c r="A124" s="88"/>
      <c r="B124" s="100"/>
      <c r="C124" s="231"/>
      <c r="D124" s="87"/>
      <c r="E124" s="80"/>
      <c r="F124" s="97"/>
      <c r="G124" s="397"/>
      <c r="H124" s="396"/>
      <c r="I124" s="396"/>
      <c r="J124" s="408"/>
    </row>
    <row r="125" spans="1:10" hidden="1" x14ac:dyDescent="0.2">
      <c r="A125" s="88"/>
      <c r="B125" s="100"/>
      <c r="C125" s="231"/>
      <c r="D125" s="87"/>
      <c r="E125" s="80"/>
      <c r="G125" s="397"/>
      <c r="H125" s="396"/>
      <c r="I125" s="396"/>
      <c r="J125" s="408"/>
    </row>
    <row r="126" spans="1:10" hidden="1" x14ac:dyDescent="0.2">
      <c r="A126" s="85" t="s">
        <v>124</v>
      </c>
      <c r="B126" s="126" t="s">
        <v>89</v>
      </c>
      <c r="C126" s="234">
        <f>+C127</f>
        <v>0</v>
      </c>
      <c r="D126" s="87"/>
      <c r="E126" s="80"/>
      <c r="G126" s="396"/>
      <c r="H126" s="396"/>
      <c r="I126" s="396"/>
      <c r="J126" s="408"/>
    </row>
    <row r="127" spans="1:10" hidden="1" x14ac:dyDescent="0.2">
      <c r="A127" s="88" t="s">
        <v>125</v>
      </c>
      <c r="B127" s="100" t="s">
        <v>90</v>
      </c>
      <c r="D127" s="87"/>
      <c r="E127" s="80"/>
      <c r="G127" s="396"/>
      <c r="H127" s="396"/>
      <c r="I127" s="396"/>
      <c r="J127" s="408"/>
    </row>
    <row r="128" spans="1:10" hidden="1" x14ac:dyDescent="0.2">
      <c r="A128" s="88"/>
      <c r="B128" s="100"/>
      <c r="C128" s="231"/>
      <c r="D128" s="87"/>
      <c r="E128" s="80"/>
      <c r="G128" s="396"/>
      <c r="H128" s="396"/>
      <c r="I128" s="396"/>
      <c r="J128" s="408"/>
    </row>
    <row r="129" spans="1:10" hidden="1" x14ac:dyDescent="0.2">
      <c r="A129" s="85" t="s">
        <v>126</v>
      </c>
      <c r="B129" s="126" t="s">
        <v>320</v>
      </c>
      <c r="C129" s="234">
        <f>C131+C130+C132</f>
        <v>0</v>
      </c>
      <c r="D129" s="87"/>
      <c r="G129" s="396"/>
      <c r="H129" s="396"/>
      <c r="I129" s="396"/>
      <c r="J129" s="408"/>
    </row>
    <row r="130" spans="1:10" hidden="1" x14ac:dyDescent="0.2">
      <c r="A130" s="88" t="s">
        <v>146</v>
      </c>
      <c r="B130" s="100" t="s">
        <v>147</v>
      </c>
      <c r="C130" s="231"/>
      <c r="D130" s="87"/>
      <c r="E130" s="80"/>
      <c r="G130" s="396"/>
      <c r="H130" s="396"/>
      <c r="I130" s="396"/>
      <c r="J130" s="408"/>
    </row>
    <row r="131" spans="1:10" hidden="1" x14ac:dyDescent="0.2">
      <c r="A131" s="88" t="s">
        <v>127</v>
      </c>
      <c r="B131" s="100" t="s">
        <v>98</v>
      </c>
      <c r="C131" s="231"/>
      <c r="D131" s="87"/>
      <c r="E131" s="80"/>
      <c r="G131" s="396"/>
      <c r="H131" s="396"/>
      <c r="I131" s="396"/>
      <c r="J131" s="408"/>
    </row>
    <row r="132" spans="1:10" hidden="1" x14ac:dyDescent="0.2">
      <c r="A132" s="88" t="s">
        <v>213</v>
      </c>
      <c r="B132" s="100" t="s">
        <v>214</v>
      </c>
      <c r="C132" s="231"/>
      <c r="D132" s="87"/>
      <c r="E132" s="80"/>
      <c r="G132" s="396"/>
      <c r="H132" s="396"/>
      <c r="I132" s="396"/>
      <c r="J132" s="408"/>
    </row>
    <row r="133" spans="1:10" hidden="1" x14ac:dyDescent="0.2">
      <c r="A133" s="88"/>
      <c r="B133" s="100"/>
      <c r="C133" s="231"/>
      <c r="D133" s="87"/>
      <c r="E133" s="80"/>
      <c r="G133" s="397"/>
      <c r="H133" s="396"/>
      <c r="I133" s="396"/>
      <c r="J133" s="408"/>
    </row>
    <row r="134" spans="1:10" hidden="1" x14ac:dyDescent="0.2">
      <c r="A134" s="88" t="s">
        <v>213</v>
      </c>
      <c r="B134" s="100" t="s">
        <v>321</v>
      </c>
      <c r="C134" s="231"/>
      <c r="D134" s="87"/>
      <c r="E134" s="80"/>
      <c r="G134" s="397"/>
      <c r="H134" s="396"/>
      <c r="I134" s="396"/>
      <c r="J134" s="408"/>
    </row>
    <row r="135" spans="1:10" hidden="1" x14ac:dyDescent="0.2">
      <c r="A135" s="88"/>
      <c r="B135" s="131"/>
      <c r="C135" s="231"/>
      <c r="D135" s="87"/>
      <c r="E135" s="80"/>
      <c r="G135" s="397"/>
      <c r="H135" s="396"/>
      <c r="I135" s="396"/>
      <c r="J135" s="408"/>
    </row>
    <row r="136" spans="1:10" hidden="1" x14ac:dyDescent="0.2">
      <c r="A136" s="88"/>
      <c r="B136" s="131"/>
      <c r="C136" s="293"/>
      <c r="D136" s="87"/>
      <c r="E136" s="80"/>
      <c r="G136" s="397"/>
      <c r="H136" s="396"/>
      <c r="I136" s="396"/>
      <c r="J136" s="408"/>
    </row>
    <row r="137" spans="1:10" hidden="1" x14ac:dyDescent="0.2">
      <c r="A137" s="221" t="s">
        <v>128</v>
      </c>
      <c r="B137" s="221" t="s">
        <v>482</v>
      </c>
      <c r="C137" s="300"/>
      <c r="D137" s="87"/>
      <c r="G137" s="397"/>
      <c r="H137" s="396"/>
      <c r="I137" s="396"/>
      <c r="J137" s="408"/>
    </row>
    <row r="138" spans="1:10" ht="22.5" x14ac:dyDescent="0.2">
      <c r="A138" s="221" t="s">
        <v>128</v>
      </c>
      <c r="B138" s="221" t="s">
        <v>510</v>
      </c>
      <c r="C138" s="295"/>
      <c r="D138" s="294"/>
      <c r="G138" s="397"/>
      <c r="H138" s="396"/>
      <c r="I138" s="396"/>
      <c r="J138" s="408"/>
    </row>
    <row r="139" spans="1:10" x14ac:dyDescent="0.2">
      <c r="A139" s="85" t="s">
        <v>120</v>
      </c>
      <c r="B139" s="126" t="s">
        <v>441</v>
      </c>
      <c r="C139" s="234">
        <f>C140+C143+C146</f>
        <v>6000</v>
      </c>
      <c r="D139" s="292"/>
      <c r="G139" s="397"/>
      <c r="H139" s="396"/>
      <c r="I139" s="396"/>
      <c r="J139" s="408"/>
    </row>
    <row r="140" spans="1:10" x14ac:dyDescent="0.2">
      <c r="A140" s="85" t="s">
        <v>123</v>
      </c>
      <c r="B140" s="126" t="s">
        <v>322</v>
      </c>
      <c r="C140" s="234">
        <f>C141</f>
        <v>2000</v>
      </c>
      <c r="D140" s="87">
        <f>C139</f>
        <v>6000</v>
      </c>
      <c r="G140" s="397">
        <v>0</v>
      </c>
      <c r="H140" s="396">
        <v>0</v>
      </c>
      <c r="I140" s="397">
        <f>D140</f>
        <v>6000</v>
      </c>
      <c r="J140" s="408">
        <f>I144+I147+I149+I141</f>
        <v>4387.5600000000004</v>
      </c>
    </row>
    <row r="141" spans="1:10" x14ac:dyDescent="0.2">
      <c r="A141" s="88" t="s">
        <v>354</v>
      </c>
      <c r="B141" s="100" t="s">
        <v>376</v>
      </c>
      <c r="C141" s="231">
        <v>2000</v>
      </c>
      <c r="D141" s="87"/>
      <c r="G141" s="397"/>
      <c r="H141" s="396">
        <v>1130</v>
      </c>
      <c r="I141" s="399">
        <f>C141-H141</f>
        <v>870</v>
      </c>
      <c r="J141" s="408"/>
    </row>
    <row r="142" spans="1:10" x14ac:dyDescent="0.2">
      <c r="C142" s="231"/>
      <c r="D142" s="87"/>
      <c r="G142" s="397"/>
      <c r="H142" s="396"/>
      <c r="I142" s="396"/>
      <c r="J142" s="408"/>
    </row>
    <row r="143" spans="1:10" ht="22.5" x14ac:dyDescent="0.2">
      <c r="A143" s="85" t="s">
        <v>124</v>
      </c>
      <c r="B143" s="126" t="s">
        <v>443</v>
      </c>
      <c r="C143" s="234">
        <f>+C144</f>
        <v>1000</v>
      </c>
      <c r="D143" s="87"/>
      <c r="G143" s="397"/>
      <c r="H143" s="396"/>
      <c r="I143" s="396"/>
      <c r="J143" s="408"/>
    </row>
    <row r="144" spans="1:10" x14ac:dyDescent="0.2">
      <c r="A144" s="88" t="s">
        <v>125</v>
      </c>
      <c r="B144" s="100" t="s">
        <v>377</v>
      </c>
      <c r="C144" s="231">
        <v>1000</v>
      </c>
      <c r="D144" s="87"/>
      <c r="G144" s="397"/>
      <c r="H144" s="396">
        <v>1000</v>
      </c>
      <c r="I144" s="399">
        <f>C144-H144</f>
        <v>0</v>
      </c>
      <c r="J144" s="408"/>
    </row>
    <row r="145" spans="1:13" x14ac:dyDescent="0.2">
      <c r="A145" s="80"/>
      <c r="B145" s="80"/>
      <c r="C145" s="231"/>
      <c r="D145" s="87"/>
      <c r="G145" s="397"/>
      <c r="H145" s="396"/>
      <c r="I145" s="396"/>
      <c r="J145" s="408"/>
    </row>
    <row r="146" spans="1:13" x14ac:dyDescent="0.2">
      <c r="A146" s="85" t="s">
        <v>126</v>
      </c>
      <c r="B146" s="126" t="s">
        <v>330</v>
      </c>
      <c r="C146" s="234">
        <f>SUM(C147:C149)</f>
        <v>3000</v>
      </c>
      <c r="D146" s="87"/>
      <c r="G146" s="397"/>
      <c r="H146" s="396"/>
      <c r="I146" s="396"/>
      <c r="J146" s="408"/>
    </row>
    <row r="147" spans="1:13" x14ac:dyDescent="0.2">
      <c r="A147" s="88" t="s">
        <v>146</v>
      </c>
      <c r="B147" s="100" t="s">
        <v>147</v>
      </c>
      <c r="C147" s="231">
        <v>2000</v>
      </c>
      <c r="D147" s="87"/>
      <c r="G147" s="397">
        <v>1449.51</v>
      </c>
      <c r="H147" s="396"/>
      <c r="I147" s="397">
        <f>G147+C147</f>
        <v>3449.51</v>
      </c>
      <c r="J147" s="408"/>
    </row>
    <row r="148" spans="1:13" ht="22.5" x14ac:dyDescent="0.2">
      <c r="A148" s="88" t="s">
        <v>328</v>
      </c>
      <c r="B148" s="100" t="s">
        <v>480</v>
      </c>
      <c r="C148" s="231">
        <v>500</v>
      </c>
      <c r="D148" s="87"/>
      <c r="G148" s="397"/>
      <c r="H148" s="396">
        <v>500</v>
      </c>
      <c r="I148" s="399">
        <f>C148-H148</f>
        <v>0</v>
      </c>
      <c r="J148" s="408"/>
    </row>
    <row r="149" spans="1:13" x14ac:dyDescent="0.2">
      <c r="A149" s="296" t="s">
        <v>213</v>
      </c>
      <c r="B149" s="297" t="s">
        <v>378</v>
      </c>
      <c r="C149" s="231">
        <v>500</v>
      </c>
      <c r="D149" s="87"/>
      <c r="G149" s="397"/>
      <c r="H149" s="396">
        <v>431.95</v>
      </c>
      <c r="I149" s="399">
        <f>C149-H149</f>
        <v>68.050000000000011</v>
      </c>
      <c r="J149" s="408"/>
    </row>
    <row r="150" spans="1:13" x14ac:dyDescent="0.2">
      <c r="A150" s="306"/>
      <c r="B150" s="307"/>
      <c r="C150" s="293"/>
      <c r="D150" s="87"/>
      <c r="G150" s="397"/>
      <c r="H150" s="396"/>
      <c r="I150" s="396"/>
      <c r="J150" s="408"/>
    </row>
    <row r="151" spans="1:13" x14ac:dyDescent="0.2">
      <c r="A151" s="225" t="s">
        <v>433</v>
      </c>
      <c r="B151" s="298" t="s">
        <v>483</v>
      </c>
      <c r="C151" s="300"/>
      <c r="D151" s="87"/>
      <c r="G151" s="397"/>
      <c r="H151" s="396"/>
      <c r="I151" s="396"/>
      <c r="J151" s="408"/>
    </row>
    <row r="152" spans="1:13" ht="22.5" x14ac:dyDescent="0.2">
      <c r="A152" s="225" t="s">
        <v>345</v>
      </c>
      <c r="B152" s="222" t="s">
        <v>509</v>
      </c>
      <c r="C152" s="295"/>
      <c r="D152" s="294"/>
      <c r="E152" s="80"/>
      <c r="G152" s="396"/>
      <c r="H152" s="396"/>
      <c r="I152" s="396"/>
      <c r="J152" s="408"/>
    </row>
    <row r="153" spans="1:13" s="98" customFormat="1" x14ac:dyDescent="0.2">
      <c r="A153" s="85" t="s">
        <v>120</v>
      </c>
      <c r="B153" s="126" t="s">
        <v>441</v>
      </c>
      <c r="C153" s="234">
        <f>+C154+C160+C163</f>
        <v>9000</v>
      </c>
      <c r="D153" s="292"/>
      <c r="E153" s="235"/>
      <c r="F153" s="235"/>
      <c r="G153" s="396"/>
      <c r="H153" s="396"/>
      <c r="I153" s="396"/>
      <c r="J153" s="408"/>
    </row>
    <row r="154" spans="1:13" x14ac:dyDescent="0.2">
      <c r="A154" s="85" t="s">
        <v>121</v>
      </c>
      <c r="B154" s="126" t="s">
        <v>77</v>
      </c>
      <c r="C154" s="234">
        <f>SUM(C155:C158)</f>
        <v>8250</v>
      </c>
      <c r="D154" s="87">
        <f>C153</f>
        <v>9000</v>
      </c>
      <c r="E154" s="97"/>
      <c r="F154" s="97"/>
      <c r="G154" s="396"/>
      <c r="H154" s="396"/>
      <c r="I154" s="399">
        <f>I155+I156+I160+I163+I157+I158</f>
        <v>14000</v>
      </c>
      <c r="J154" s="408">
        <f>I154</f>
        <v>14000</v>
      </c>
    </row>
    <row r="155" spans="1:13" ht="13.5" customHeight="1" x14ac:dyDescent="0.2">
      <c r="A155" s="88" t="s">
        <v>388</v>
      </c>
      <c r="B155" s="100" t="s">
        <v>413</v>
      </c>
      <c r="C155" s="231">
        <v>3500</v>
      </c>
      <c r="D155" s="87"/>
      <c r="E155" s="97"/>
      <c r="G155" s="396">
        <v>263.2</v>
      </c>
      <c r="H155" s="396"/>
      <c r="I155" s="400">
        <f>C155+G155-H155</f>
        <v>3763.2</v>
      </c>
      <c r="J155" s="408"/>
    </row>
    <row r="156" spans="1:13" ht="13.5" customHeight="1" x14ac:dyDescent="0.2">
      <c r="A156" s="88" t="s">
        <v>223</v>
      </c>
      <c r="B156" s="100" t="s">
        <v>387</v>
      </c>
      <c r="C156" s="231">
        <v>3250</v>
      </c>
      <c r="D156" s="87"/>
      <c r="E156" s="97"/>
      <c r="G156" s="396">
        <v>4892.7299999999996</v>
      </c>
      <c r="H156" s="396"/>
      <c r="I156" s="400">
        <f>C156+G156-H156</f>
        <v>8142.73</v>
      </c>
      <c r="J156" s="408"/>
      <c r="M156" s="357"/>
    </row>
    <row r="157" spans="1:13" ht="14.25" customHeight="1" x14ac:dyDescent="0.2">
      <c r="A157" s="88" t="s">
        <v>380</v>
      </c>
      <c r="B157" s="100" t="s">
        <v>381</v>
      </c>
      <c r="C157" s="231">
        <v>1000</v>
      </c>
      <c r="D157" s="87"/>
      <c r="E157" s="97"/>
      <c r="F157" s="97"/>
      <c r="G157" s="396"/>
      <c r="H157" s="396">
        <f>120.8+263.2</f>
        <v>384</v>
      </c>
      <c r="I157" s="399">
        <f>C157+G157-H157</f>
        <v>616</v>
      </c>
      <c r="J157" s="408"/>
    </row>
    <row r="158" spans="1:13" x14ac:dyDescent="0.2">
      <c r="A158" s="88" t="s">
        <v>382</v>
      </c>
      <c r="B158" s="100" t="s">
        <v>383</v>
      </c>
      <c r="C158" s="231">
        <v>500</v>
      </c>
      <c r="D158" s="87"/>
      <c r="E158" s="97"/>
      <c r="F158" s="97"/>
      <c r="G158" s="396"/>
      <c r="H158" s="396">
        <v>300</v>
      </c>
      <c r="I158" s="399">
        <f>C158+G158-H158</f>
        <v>200</v>
      </c>
      <c r="J158" s="408"/>
    </row>
    <row r="159" spans="1:13" x14ac:dyDescent="0.2">
      <c r="A159" s="88"/>
      <c r="B159" s="100"/>
      <c r="C159" s="231"/>
      <c r="D159" s="87"/>
      <c r="E159" s="97"/>
      <c r="G159" s="396"/>
      <c r="H159" s="396"/>
      <c r="I159" s="399"/>
      <c r="J159" s="408"/>
    </row>
    <row r="160" spans="1:13" x14ac:dyDescent="0.2">
      <c r="A160" s="85" t="s">
        <v>123</v>
      </c>
      <c r="B160" s="126" t="s">
        <v>415</v>
      </c>
      <c r="C160" s="234">
        <f>+C161</f>
        <v>150</v>
      </c>
      <c r="D160" s="87"/>
      <c r="E160" s="97"/>
      <c r="G160" s="396"/>
      <c r="H160" s="396"/>
      <c r="I160" s="400">
        <f>I161</f>
        <v>195</v>
      </c>
      <c r="J160" s="408"/>
    </row>
    <row r="161" spans="1:10" x14ac:dyDescent="0.2">
      <c r="A161" s="88" t="s">
        <v>354</v>
      </c>
      <c r="B161" s="100" t="s">
        <v>414</v>
      </c>
      <c r="C161" s="231">
        <v>150</v>
      </c>
      <c r="D161" s="87"/>
      <c r="E161" s="97"/>
      <c r="G161" s="396">
        <v>45</v>
      </c>
      <c r="H161" s="396"/>
      <c r="I161" s="399">
        <f>C161+G161-H161</f>
        <v>195</v>
      </c>
      <c r="J161" s="408"/>
    </row>
    <row r="162" spans="1:10" x14ac:dyDescent="0.2">
      <c r="A162" s="88"/>
      <c r="B162" s="100"/>
      <c r="C162" s="231"/>
      <c r="D162" s="87"/>
      <c r="E162" s="97"/>
      <c r="G162" s="396"/>
      <c r="H162" s="396"/>
      <c r="I162" s="399"/>
      <c r="J162" s="408"/>
    </row>
    <row r="163" spans="1:10" x14ac:dyDescent="0.2">
      <c r="A163" s="85" t="s">
        <v>126</v>
      </c>
      <c r="B163" s="126" t="s">
        <v>416</v>
      </c>
      <c r="C163" s="234">
        <f>+C164</f>
        <v>600</v>
      </c>
      <c r="D163" s="87"/>
      <c r="E163" s="97"/>
      <c r="G163" s="396"/>
      <c r="H163" s="396"/>
      <c r="I163" s="400">
        <f>I164</f>
        <v>1083.07</v>
      </c>
      <c r="J163" s="408"/>
    </row>
    <row r="164" spans="1:10" x14ac:dyDescent="0.2">
      <c r="A164" s="296" t="s">
        <v>146</v>
      </c>
      <c r="B164" s="297" t="s">
        <v>147</v>
      </c>
      <c r="C164" s="288">
        <v>600</v>
      </c>
      <c r="D164" s="87"/>
      <c r="E164" s="97"/>
      <c r="G164" s="396">
        <v>483.07</v>
      </c>
      <c r="H164" s="396"/>
      <c r="I164" s="399">
        <f>C164+G164-H164</f>
        <v>1083.07</v>
      </c>
      <c r="J164" s="408"/>
    </row>
    <row r="165" spans="1:10" x14ac:dyDescent="0.2">
      <c r="A165" s="301"/>
      <c r="B165" s="302"/>
      <c r="C165" s="293"/>
      <c r="D165" s="87"/>
      <c r="E165" s="97"/>
      <c r="G165" s="396"/>
      <c r="H165" s="396"/>
      <c r="I165" s="396"/>
      <c r="J165" s="408"/>
    </row>
    <row r="166" spans="1:10" x14ac:dyDescent="0.2">
      <c r="A166" s="298" t="s">
        <v>128</v>
      </c>
      <c r="B166" s="299" t="s">
        <v>434</v>
      </c>
      <c r="C166" s="300"/>
      <c r="D166" s="289"/>
      <c r="E166" s="97"/>
      <c r="G166" s="396"/>
      <c r="H166" s="396"/>
      <c r="I166" s="396"/>
      <c r="J166" s="408"/>
    </row>
    <row r="167" spans="1:10" ht="22.5" x14ac:dyDescent="0.2">
      <c r="A167" s="222" t="s">
        <v>435</v>
      </c>
      <c r="B167" s="287" t="s">
        <v>508</v>
      </c>
      <c r="C167" s="295"/>
      <c r="D167" s="294"/>
      <c r="E167" s="97"/>
      <c r="G167" s="396"/>
      <c r="H167" s="396"/>
      <c r="I167" s="396"/>
      <c r="J167" s="408"/>
    </row>
    <row r="168" spans="1:10" x14ac:dyDescent="0.2">
      <c r="A168" s="85" t="s">
        <v>372</v>
      </c>
      <c r="B168" s="126" t="s">
        <v>373</v>
      </c>
      <c r="C168" s="290"/>
      <c r="E168" s="97"/>
      <c r="G168" s="396"/>
      <c r="H168" s="396"/>
      <c r="I168" s="396"/>
      <c r="J168" s="408"/>
    </row>
    <row r="169" spans="1:10" x14ac:dyDescent="0.2">
      <c r="A169" s="308">
        <v>7.1</v>
      </c>
      <c r="B169" s="95" t="s">
        <v>442</v>
      </c>
      <c r="C169" s="234">
        <f>C170</f>
        <v>1000</v>
      </c>
      <c r="D169" s="292"/>
      <c r="E169" s="97"/>
      <c r="G169" s="396"/>
      <c r="H169" s="396"/>
      <c r="I169" s="396"/>
      <c r="J169" s="408"/>
    </row>
    <row r="170" spans="1:10" x14ac:dyDescent="0.2">
      <c r="A170" s="85" t="s">
        <v>114</v>
      </c>
      <c r="B170" s="126" t="s">
        <v>323</v>
      </c>
      <c r="C170" s="234">
        <f>+C171</f>
        <v>1000</v>
      </c>
      <c r="D170" s="291">
        <f>+C169+C173</f>
        <v>4596.8999999999996</v>
      </c>
      <c r="E170" s="97"/>
      <c r="G170" s="396">
        <v>0</v>
      </c>
      <c r="H170" s="396">
        <v>0</v>
      </c>
      <c r="I170" s="396"/>
      <c r="J170" s="408">
        <f>C183+D170</f>
        <v>5916.9</v>
      </c>
    </row>
    <row r="171" spans="1:10" x14ac:dyDescent="0.2">
      <c r="A171" s="88" t="s">
        <v>384</v>
      </c>
      <c r="B171" s="100" t="s">
        <v>355</v>
      </c>
      <c r="C171" s="231">
        <v>1000</v>
      </c>
      <c r="D171" s="87"/>
      <c r="E171" s="97"/>
      <c r="G171" s="396"/>
      <c r="H171" s="396"/>
      <c r="I171" s="396"/>
      <c r="J171" s="408"/>
    </row>
    <row r="172" spans="1:10" x14ac:dyDescent="0.2">
      <c r="A172" s="88"/>
      <c r="B172" s="100"/>
      <c r="C172" s="231"/>
      <c r="D172" s="87"/>
      <c r="E172" s="97"/>
      <c r="G172" s="396"/>
      <c r="H172" s="396"/>
      <c r="I172" s="396"/>
      <c r="J172" s="408"/>
    </row>
    <row r="173" spans="1:10" x14ac:dyDescent="0.2">
      <c r="A173" s="85" t="s">
        <v>120</v>
      </c>
      <c r="B173" s="126" t="s">
        <v>441</v>
      </c>
      <c r="C173" s="234">
        <f>+C177+C175</f>
        <v>3596.9</v>
      </c>
      <c r="D173" s="87"/>
      <c r="E173" s="97"/>
      <c r="G173" s="396"/>
      <c r="H173" s="396"/>
      <c r="I173" s="396"/>
      <c r="J173" s="408"/>
    </row>
    <row r="174" spans="1:10" x14ac:dyDescent="0.2">
      <c r="A174" s="88" t="s">
        <v>121</v>
      </c>
      <c r="B174" s="126" t="s">
        <v>77</v>
      </c>
      <c r="C174" s="234">
        <f>C175</f>
        <v>1000</v>
      </c>
      <c r="D174" s="87"/>
      <c r="E174" s="97"/>
      <c r="G174" s="396"/>
      <c r="H174" s="396"/>
      <c r="I174" s="396"/>
      <c r="J174" s="408"/>
    </row>
    <row r="175" spans="1:10" ht="13.5" customHeight="1" x14ac:dyDescent="0.2">
      <c r="A175" s="88" t="s">
        <v>382</v>
      </c>
      <c r="B175" s="100" t="s">
        <v>389</v>
      </c>
      <c r="C175" s="231">
        <v>1000</v>
      </c>
      <c r="D175" s="87"/>
      <c r="E175" s="97"/>
      <c r="G175" s="396">
        <v>657.6</v>
      </c>
      <c r="H175" s="396"/>
      <c r="I175" s="396"/>
      <c r="J175" s="408">
        <f>C175+G175</f>
        <v>1657.6</v>
      </c>
    </row>
    <row r="176" spans="1:10" ht="13.5" customHeight="1" x14ac:dyDescent="0.2">
      <c r="A176" s="88" t="s">
        <v>379</v>
      </c>
      <c r="B176" s="100"/>
      <c r="C176" s="231"/>
      <c r="D176" s="87"/>
      <c r="E176" s="97"/>
      <c r="G176" s="396"/>
      <c r="H176" s="396"/>
      <c r="I176" s="396"/>
      <c r="J176" s="408"/>
    </row>
    <row r="177" spans="1:10" ht="11.25" customHeight="1" x14ac:dyDescent="0.2">
      <c r="A177" s="85" t="s">
        <v>126</v>
      </c>
      <c r="B177" s="134" t="s">
        <v>330</v>
      </c>
      <c r="C177" s="234">
        <f>SUM(C178:C178)</f>
        <v>2596.9</v>
      </c>
      <c r="D177" s="87"/>
      <c r="E177" s="97"/>
      <c r="G177" s="396"/>
      <c r="H177" s="396"/>
      <c r="I177" s="396"/>
      <c r="J177" s="408"/>
    </row>
    <row r="178" spans="1:10" ht="36" customHeight="1" x14ac:dyDescent="0.2">
      <c r="A178" s="88" t="s">
        <v>356</v>
      </c>
      <c r="B178" s="100" t="s">
        <v>390</v>
      </c>
      <c r="C178" s="231">
        <v>2596.9</v>
      </c>
      <c r="D178" s="87"/>
      <c r="E178" s="97"/>
      <c r="G178" s="396"/>
      <c r="H178" s="396">
        <v>657.6</v>
      </c>
      <c r="I178" s="396"/>
      <c r="J178" s="408">
        <f>C178-H178</f>
        <v>1939.3000000000002</v>
      </c>
    </row>
    <row r="179" spans="1:10" x14ac:dyDescent="0.2">
      <c r="D179" s="87"/>
      <c r="E179" s="97"/>
      <c r="G179" s="396"/>
      <c r="H179" s="396"/>
      <c r="I179" s="396"/>
      <c r="J179" s="408"/>
    </row>
    <row r="180" spans="1:10" x14ac:dyDescent="0.2">
      <c r="A180" s="417" t="s">
        <v>345</v>
      </c>
      <c r="B180" s="418" t="s">
        <v>557</v>
      </c>
      <c r="D180" s="87"/>
      <c r="E180" s="97"/>
      <c r="G180" s="396"/>
      <c r="H180" s="396"/>
      <c r="I180" s="396"/>
      <c r="J180" s="408"/>
    </row>
    <row r="181" spans="1:10" x14ac:dyDescent="0.2">
      <c r="A181" s="99" t="s">
        <v>546</v>
      </c>
      <c r="B181" s="125" t="s">
        <v>556</v>
      </c>
      <c r="D181" s="87"/>
      <c r="E181" s="97"/>
      <c r="G181" s="396"/>
      <c r="H181" s="396"/>
      <c r="I181" s="396"/>
      <c r="J181" s="408"/>
    </row>
    <row r="182" spans="1:10" x14ac:dyDescent="0.2">
      <c r="A182" s="99" t="s">
        <v>554</v>
      </c>
      <c r="B182" s="125" t="s">
        <v>555</v>
      </c>
      <c r="D182" s="87"/>
      <c r="E182" s="97"/>
      <c r="G182" s="396"/>
      <c r="H182" s="396"/>
      <c r="I182" s="396"/>
      <c r="J182" s="408"/>
    </row>
    <row r="183" spans="1:10" x14ac:dyDescent="0.2">
      <c r="A183" s="99" t="s">
        <v>552</v>
      </c>
      <c r="B183" s="125" t="s">
        <v>553</v>
      </c>
      <c r="C183" s="243">
        <v>1320</v>
      </c>
      <c r="D183" s="87"/>
      <c r="E183" s="97"/>
      <c r="G183" s="396"/>
      <c r="H183" s="396"/>
      <c r="I183" s="396"/>
      <c r="J183" s="408"/>
    </row>
    <row r="184" spans="1:10" ht="33" customHeight="1" x14ac:dyDescent="0.2">
      <c r="A184" s="222" t="s">
        <v>128</v>
      </c>
      <c r="B184" s="222" t="s">
        <v>363</v>
      </c>
      <c r="D184" s="87"/>
      <c r="E184" s="97"/>
      <c r="G184" s="396"/>
      <c r="H184" s="396"/>
      <c r="I184" s="396"/>
      <c r="J184" s="408"/>
    </row>
    <row r="185" spans="1:10" ht="22.5" x14ac:dyDescent="0.2">
      <c r="A185" s="222" t="s">
        <v>345</v>
      </c>
      <c r="B185" s="222" t="s">
        <v>507</v>
      </c>
      <c r="E185" s="97"/>
      <c r="G185" s="396"/>
      <c r="H185" s="396"/>
      <c r="I185" s="396"/>
      <c r="J185" s="408"/>
    </row>
    <row r="186" spans="1:10" x14ac:dyDescent="0.2">
      <c r="A186" s="88"/>
      <c r="B186" s="80"/>
      <c r="C186" s="231"/>
      <c r="E186" s="97"/>
      <c r="G186" s="396"/>
      <c r="H186" s="396"/>
      <c r="I186" s="396"/>
      <c r="J186" s="408"/>
    </row>
    <row r="187" spans="1:10" x14ac:dyDescent="0.2">
      <c r="A187" s="85" t="s">
        <v>372</v>
      </c>
      <c r="B187" s="126" t="s">
        <v>373</v>
      </c>
      <c r="C187" s="234"/>
      <c r="D187" s="251"/>
      <c r="E187" s="97"/>
      <c r="G187" s="396"/>
      <c r="H187" s="396"/>
      <c r="I187" s="396"/>
      <c r="J187" s="408"/>
    </row>
    <row r="188" spans="1:10" x14ac:dyDescent="0.2">
      <c r="A188" s="232">
        <v>7.1</v>
      </c>
      <c r="B188" s="232" t="s">
        <v>399</v>
      </c>
      <c r="C188" s="233">
        <f>C189</f>
        <v>4000</v>
      </c>
      <c r="D188" s="249"/>
      <c r="E188" s="97"/>
      <c r="G188" s="396"/>
      <c r="H188" s="396"/>
      <c r="I188" s="396"/>
      <c r="J188" s="408"/>
    </row>
    <row r="189" spans="1:10" x14ac:dyDescent="0.2">
      <c r="A189" s="85" t="s">
        <v>114</v>
      </c>
      <c r="B189" s="126" t="s">
        <v>323</v>
      </c>
      <c r="C189" s="234">
        <f>SUM(C190:C190)</f>
        <v>4000</v>
      </c>
      <c r="D189" s="87">
        <f>+C188+C192</f>
        <v>31951.68</v>
      </c>
      <c r="E189" s="97"/>
      <c r="G189" s="396"/>
      <c r="H189" s="396"/>
      <c r="I189" s="406">
        <f>I190+I194+I196</f>
        <v>44856.67</v>
      </c>
      <c r="J189" s="408">
        <f>I189</f>
        <v>44856.67</v>
      </c>
    </row>
    <row r="190" spans="1:10" x14ac:dyDescent="0.2">
      <c r="A190" s="88" t="s">
        <v>384</v>
      </c>
      <c r="B190" s="100" t="s">
        <v>391</v>
      </c>
      <c r="C190" s="231">
        <v>4000</v>
      </c>
      <c r="D190" s="87"/>
      <c r="E190" s="97"/>
      <c r="G190" s="396">
        <v>12904.99</v>
      </c>
      <c r="H190" s="396"/>
      <c r="I190" s="399">
        <f>C190+G190</f>
        <v>16904.989999999998</v>
      </c>
      <c r="J190" s="408"/>
    </row>
    <row r="191" spans="1:10" x14ac:dyDescent="0.2">
      <c r="A191" s="88"/>
      <c r="B191" s="100"/>
      <c r="C191" s="231"/>
      <c r="D191" s="87"/>
      <c r="E191" s="97"/>
      <c r="G191" s="396"/>
      <c r="H191" s="396"/>
      <c r="I191" s="396"/>
      <c r="J191" s="408"/>
    </row>
    <row r="192" spans="1:10" x14ac:dyDescent="0.2">
      <c r="A192" s="229" t="s">
        <v>120</v>
      </c>
      <c r="B192" s="230" t="s">
        <v>398</v>
      </c>
      <c r="C192" s="234">
        <f>+C193+C195</f>
        <v>27951.68</v>
      </c>
      <c r="D192" s="87"/>
      <c r="E192" s="97"/>
      <c r="G192" s="396"/>
      <c r="H192" s="396"/>
      <c r="I192" s="396"/>
      <c r="J192" s="408"/>
    </row>
    <row r="193" spans="1:10" x14ac:dyDescent="0.2">
      <c r="A193" s="237" t="s">
        <v>126</v>
      </c>
      <c r="B193" s="134" t="s">
        <v>330</v>
      </c>
      <c r="C193" s="234">
        <f>C194</f>
        <v>23951.68</v>
      </c>
      <c r="D193" s="87"/>
      <c r="E193" s="97"/>
      <c r="G193" s="396"/>
      <c r="H193" s="396"/>
      <c r="I193" s="396"/>
      <c r="J193" s="408"/>
    </row>
    <row r="194" spans="1:10" ht="10.5" customHeight="1" x14ac:dyDescent="0.2">
      <c r="A194" s="238" t="s">
        <v>356</v>
      </c>
      <c r="B194" s="309" t="s">
        <v>444</v>
      </c>
      <c r="C194" s="231">
        <v>23951.68</v>
      </c>
      <c r="D194" s="87"/>
      <c r="E194" s="97"/>
      <c r="G194" s="396">
        <v>0</v>
      </c>
      <c r="H194" s="396">
        <v>0</v>
      </c>
      <c r="I194" s="399">
        <f>C194</f>
        <v>23951.68</v>
      </c>
      <c r="J194" s="408"/>
    </row>
    <row r="195" spans="1:10" ht="12" customHeight="1" x14ac:dyDescent="0.2">
      <c r="A195" s="237" t="s">
        <v>123</v>
      </c>
      <c r="B195" s="134" t="s">
        <v>322</v>
      </c>
      <c r="C195" s="240">
        <f>C196</f>
        <v>4000</v>
      </c>
      <c r="D195" s="87"/>
      <c r="E195" s="97"/>
      <c r="G195" s="396"/>
      <c r="H195" s="396"/>
      <c r="I195" s="396"/>
      <c r="J195" s="408"/>
    </row>
    <row r="196" spans="1:10" ht="13.5" customHeight="1" x14ac:dyDescent="0.2">
      <c r="A196" s="238" t="s">
        <v>392</v>
      </c>
      <c r="B196" s="135" t="s">
        <v>422</v>
      </c>
      <c r="C196" s="241">
        <v>4000</v>
      </c>
      <c r="D196" s="87"/>
      <c r="E196" s="97"/>
      <c r="G196" s="396">
        <v>0</v>
      </c>
      <c r="H196" s="396">
        <v>0</v>
      </c>
      <c r="I196" s="399">
        <f>C196</f>
        <v>4000</v>
      </c>
      <c r="J196" s="408"/>
    </row>
    <row r="197" spans="1:10" ht="13.5" customHeight="1" x14ac:dyDescent="0.2">
      <c r="A197" s="238"/>
      <c r="B197" s="100"/>
      <c r="C197" s="231"/>
      <c r="D197" s="87"/>
      <c r="E197" s="97"/>
      <c r="G197" s="396"/>
      <c r="H197" s="396"/>
      <c r="I197" s="396"/>
      <c r="J197" s="408"/>
    </row>
    <row r="198" spans="1:10" ht="12.75" customHeight="1" x14ac:dyDescent="0.2">
      <c r="A198" s="303"/>
      <c r="B198" s="304"/>
      <c r="D198" s="87"/>
      <c r="E198" s="97"/>
      <c r="G198" s="396"/>
      <c r="H198" s="396"/>
      <c r="I198" s="396"/>
      <c r="J198" s="408"/>
    </row>
    <row r="199" spans="1:10" ht="15" customHeight="1" x14ac:dyDescent="0.2">
      <c r="A199" s="298" t="s">
        <v>128</v>
      </c>
      <c r="B199" s="298" t="s">
        <v>436</v>
      </c>
      <c r="D199" s="87"/>
      <c r="E199" s="97"/>
      <c r="G199" s="396"/>
      <c r="H199" s="396"/>
      <c r="I199" s="396"/>
      <c r="J199" s="408"/>
    </row>
    <row r="200" spans="1:10" s="98" customFormat="1" ht="10.5" customHeight="1" x14ac:dyDescent="0.2">
      <c r="A200" s="222" t="s">
        <v>345</v>
      </c>
      <c r="B200" s="222" t="s">
        <v>437</v>
      </c>
      <c r="C200" s="243"/>
      <c r="D200" s="82">
        <f>C201</f>
        <v>104194.26</v>
      </c>
      <c r="E200" s="235"/>
      <c r="G200" s="396">
        <v>0</v>
      </c>
      <c r="H200" s="396">
        <v>0</v>
      </c>
      <c r="I200" s="397">
        <f>D200-H204</f>
        <v>99714.26</v>
      </c>
      <c r="J200" s="408">
        <f>I200</f>
        <v>99714.26</v>
      </c>
    </row>
    <row r="201" spans="1:10" ht="21.75" customHeight="1" x14ac:dyDescent="0.2">
      <c r="A201" s="85" t="s">
        <v>372</v>
      </c>
      <c r="B201" s="126" t="s">
        <v>373</v>
      </c>
      <c r="C201" s="234">
        <f>C202+C206</f>
        <v>104194.26</v>
      </c>
      <c r="E201" s="97"/>
      <c r="G201" s="396"/>
      <c r="H201" s="396"/>
      <c r="I201" s="396"/>
      <c r="J201" s="408"/>
    </row>
    <row r="202" spans="1:10" ht="10.5" customHeight="1" x14ac:dyDescent="0.2">
      <c r="A202" s="239" t="s">
        <v>120</v>
      </c>
      <c r="B202" s="236" t="s">
        <v>441</v>
      </c>
      <c r="C202" s="240">
        <f>C203</f>
        <v>5000</v>
      </c>
      <c r="D202" s="251"/>
      <c r="E202" s="97"/>
      <c r="G202" s="396"/>
      <c r="H202" s="396"/>
      <c r="I202" s="396"/>
      <c r="J202" s="408"/>
    </row>
    <row r="203" spans="1:10" ht="10.5" customHeight="1" x14ac:dyDescent="0.2">
      <c r="A203" s="237" t="s">
        <v>126</v>
      </c>
      <c r="B203" s="134" t="s">
        <v>330</v>
      </c>
      <c r="C203" s="240">
        <f>C204</f>
        <v>5000</v>
      </c>
      <c r="D203" s="219"/>
      <c r="E203" s="97"/>
      <c r="G203" s="396"/>
      <c r="H203" s="396"/>
      <c r="I203" s="396"/>
      <c r="J203" s="408"/>
    </row>
    <row r="204" spans="1:10" ht="10.5" customHeight="1" x14ac:dyDescent="0.2">
      <c r="A204" s="238" t="s">
        <v>356</v>
      </c>
      <c r="B204" s="100" t="s">
        <v>393</v>
      </c>
      <c r="C204" s="241">
        <v>5000</v>
      </c>
      <c r="D204" s="219"/>
      <c r="E204" s="97"/>
      <c r="G204" s="396"/>
      <c r="H204" s="396">
        <v>4480</v>
      </c>
      <c r="I204" s="396">
        <v>520</v>
      </c>
      <c r="J204" s="424"/>
    </row>
    <row r="205" spans="1:10" ht="10.5" customHeight="1" x14ac:dyDescent="0.2">
      <c r="A205" s="229" t="s">
        <v>546</v>
      </c>
      <c r="B205" s="230" t="s">
        <v>556</v>
      </c>
      <c r="C205" s="241"/>
      <c r="D205" s="219"/>
      <c r="E205" s="97"/>
      <c r="G205" s="396"/>
      <c r="H205" s="396"/>
      <c r="I205" s="396"/>
      <c r="J205" s="408"/>
    </row>
    <row r="206" spans="1:10" ht="10.5" customHeight="1" x14ac:dyDescent="0.2">
      <c r="A206" s="85" t="s">
        <v>554</v>
      </c>
      <c r="B206" s="126" t="s">
        <v>555</v>
      </c>
      <c r="C206" s="241">
        <f>C207</f>
        <v>99194.26</v>
      </c>
      <c r="D206" s="219"/>
      <c r="E206" s="97"/>
      <c r="G206" s="396"/>
      <c r="H206" s="396"/>
      <c r="I206" s="396"/>
      <c r="J206" s="408"/>
    </row>
    <row r="207" spans="1:10" ht="10.5" customHeight="1" x14ac:dyDescent="0.2">
      <c r="A207" s="238" t="s">
        <v>558</v>
      </c>
      <c r="B207" s="100" t="s">
        <v>559</v>
      </c>
      <c r="C207" s="241">
        <v>99194.26</v>
      </c>
      <c r="D207" s="219"/>
      <c r="E207" s="97"/>
      <c r="G207" s="396"/>
      <c r="H207" s="396"/>
      <c r="I207" s="396"/>
      <c r="J207" s="408"/>
    </row>
    <row r="208" spans="1:10" ht="10.5" customHeight="1" x14ac:dyDescent="0.2">
      <c r="A208" s="238"/>
      <c r="B208" s="100"/>
      <c r="C208" s="241"/>
      <c r="D208" s="219"/>
      <c r="E208" s="97"/>
      <c r="G208" s="396"/>
      <c r="H208" s="396"/>
      <c r="I208" s="396"/>
      <c r="J208" s="408"/>
    </row>
    <row r="209" spans="1:10" x14ac:dyDescent="0.2">
      <c r="A209" s="80"/>
      <c r="B209" s="80"/>
      <c r="E209" s="97"/>
      <c r="G209" s="396"/>
      <c r="H209" s="396"/>
      <c r="I209" s="396"/>
      <c r="J209" s="408"/>
    </row>
    <row r="210" spans="1:10" x14ac:dyDescent="0.2">
      <c r="A210" s="221" t="s">
        <v>433</v>
      </c>
      <c r="B210" s="221" t="s">
        <v>366</v>
      </c>
      <c r="E210" s="97"/>
      <c r="G210" s="396"/>
      <c r="H210" s="396"/>
      <c r="I210" s="396"/>
      <c r="J210" s="408"/>
    </row>
    <row r="211" spans="1:10" ht="22.5" x14ac:dyDescent="0.2">
      <c r="A211" s="221" t="s">
        <v>435</v>
      </c>
      <c r="B211" s="221" t="s">
        <v>438</v>
      </c>
      <c r="E211" s="97"/>
      <c r="G211" s="396"/>
      <c r="H211" s="396"/>
      <c r="I211" s="396"/>
      <c r="J211" s="408"/>
    </row>
    <row r="212" spans="1:10" s="98" customFormat="1" x14ac:dyDescent="0.2">
      <c r="A212" s="95">
        <v>7</v>
      </c>
      <c r="B212" s="126" t="s">
        <v>373</v>
      </c>
      <c r="C212" s="231"/>
      <c r="D212" s="82"/>
      <c r="E212" s="235"/>
      <c r="G212" s="396"/>
      <c r="H212" s="396"/>
      <c r="I212" s="396"/>
      <c r="J212" s="408"/>
    </row>
    <row r="213" spans="1:10" x14ac:dyDescent="0.2">
      <c r="A213" s="85" t="s">
        <v>108</v>
      </c>
      <c r="B213" s="134" t="s">
        <v>442</v>
      </c>
      <c r="C213" s="234">
        <f>SUM(C214)</f>
        <v>900</v>
      </c>
      <c r="D213" s="251"/>
      <c r="E213" s="97"/>
      <c r="G213" s="396"/>
      <c r="H213" s="396"/>
      <c r="I213" s="396"/>
      <c r="J213" s="408"/>
    </row>
    <row r="214" spans="1:10" x14ac:dyDescent="0.2">
      <c r="A214" s="85" t="s">
        <v>114</v>
      </c>
      <c r="B214" s="134" t="s">
        <v>323</v>
      </c>
      <c r="C214" s="234">
        <f>SUM(C215:C215)</f>
        <v>900</v>
      </c>
      <c r="D214" s="87">
        <f>+C213+C217</f>
        <v>5000</v>
      </c>
      <c r="E214" s="97"/>
      <c r="G214" s="396"/>
      <c r="H214" s="396"/>
      <c r="I214" s="397">
        <f>I215+I219+I222+I223+I224+I225+I226+I227</f>
        <v>5748.8600000000006</v>
      </c>
      <c r="J214" s="408">
        <f>I214</f>
        <v>5748.8600000000006</v>
      </c>
    </row>
    <row r="215" spans="1:10" x14ac:dyDescent="0.2">
      <c r="A215" s="88" t="s">
        <v>384</v>
      </c>
      <c r="B215" s="135" t="s">
        <v>324</v>
      </c>
      <c r="C215" s="231">
        <v>900</v>
      </c>
      <c r="D215" s="87"/>
      <c r="E215" s="97"/>
      <c r="G215" s="396">
        <v>0</v>
      </c>
      <c r="H215" s="396">
        <v>900</v>
      </c>
      <c r="I215" s="423">
        <v>0</v>
      </c>
      <c r="J215" s="408"/>
    </row>
    <row r="216" spans="1:10" x14ac:dyDescent="0.2">
      <c r="A216" s="88"/>
      <c r="B216" s="135"/>
      <c r="C216" s="231"/>
      <c r="D216" s="87"/>
      <c r="E216" s="97"/>
      <c r="G216" s="396"/>
      <c r="H216" s="396"/>
      <c r="I216" s="396"/>
      <c r="J216" s="408"/>
    </row>
    <row r="217" spans="1:10" x14ac:dyDescent="0.2">
      <c r="A217" s="85" t="s">
        <v>120</v>
      </c>
      <c r="B217" s="134" t="s">
        <v>441</v>
      </c>
      <c r="C217" s="234">
        <f>+C218+C221</f>
        <v>4100</v>
      </c>
      <c r="D217" s="87"/>
      <c r="E217" s="97"/>
      <c r="G217" s="396"/>
      <c r="H217" s="396"/>
      <c r="I217" s="396"/>
      <c r="J217" s="408"/>
    </row>
    <row r="218" spans="1:10" x14ac:dyDescent="0.2">
      <c r="A218" s="88" t="s">
        <v>325</v>
      </c>
      <c r="B218" s="134" t="s">
        <v>327</v>
      </c>
      <c r="C218" s="234">
        <f>+C219</f>
        <v>200</v>
      </c>
      <c r="D218" s="87"/>
      <c r="E218" s="97"/>
      <c r="G218" s="396"/>
      <c r="H218" s="396"/>
      <c r="I218" s="396"/>
      <c r="J218" s="408"/>
    </row>
    <row r="219" spans="1:10" ht="22.5" x14ac:dyDescent="0.2">
      <c r="A219" s="88" t="s">
        <v>326</v>
      </c>
      <c r="B219" s="135" t="s">
        <v>397</v>
      </c>
      <c r="C219" s="231">
        <v>200</v>
      </c>
      <c r="D219" s="87"/>
      <c r="E219" s="97"/>
      <c r="G219" s="396">
        <v>0</v>
      </c>
      <c r="H219" s="396">
        <v>200</v>
      </c>
      <c r="I219" s="399">
        <f>C219-H219</f>
        <v>0</v>
      </c>
      <c r="J219" s="408"/>
    </row>
    <row r="220" spans="1:10" x14ac:dyDescent="0.2">
      <c r="A220" s="88"/>
      <c r="B220" s="135"/>
      <c r="C220" s="231"/>
      <c r="D220" s="87"/>
      <c r="E220" s="97"/>
      <c r="G220" s="396"/>
      <c r="H220" s="396"/>
      <c r="I220" s="396"/>
      <c r="J220" s="408"/>
    </row>
    <row r="221" spans="1:10" x14ac:dyDescent="0.2">
      <c r="A221" s="85" t="s">
        <v>126</v>
      </c>
      <c r="B221" s="126" t="s">
        <v>129</v>
      </c>
      <c r="C221" s="234">
        <f>SUM(C222:C227)</f>
        <v>3900</v>
      </c>
      <c r="D221" s="87"/>
      <c r="E221" s="97"/>
      <c r="G221" s="401"/>
      <c r="H221" s="402"/>
      <c r="I221" s="402"/>
      <c r="J221" s="408"/>
    </row>
    <row r="222" spans="1:10" ht="22.5" x14ac:dyDescent="0.2">
      <c r="A222" s="88" t="s">
        <v>328</v>
      </c>
      <c r="B222" s="100" t="s">
        <v>385</v>
      </c>
      <c r="C222" s="231">
        <v>85</v>
      </c>
      <c r="D222" s="87"/>
      <c r="E222" s="97"/>
      <c r="G222" s="403">
        <v>0</v>
      </c>
      <c r="H222" s="404">
        <v>85</v>
      </c>
      <c r="I222" s="405">
        <f>C222-H222</f>
        <v>0</v>
      </c>
      <c r="J222" s="408"/>
    </row>
    <row r="223" spans="1:10" x14ac:dyDescent="0.2">
      <c r="A223" s="88" t="s">
        <v>329</v>
      </c>
      <c r="B223" s="100" t="s">
        <v>396</v>
      </c>
      <c r="C223" s="231">
        <v>500</v>
      </c>
      <c r="D223" s="87"/>
      <c r="E223" s="97"/>
      <c r="G223" s="403">
        <v>0</v>
      </c>
      <c r="H223" s="404">
        <v>119.44</v>
      </c>
      <c r="I223" s="405">
        <f>C223-H223</f>
        <v>380.56</v>
      </c>
      <c r="J223" s="408"/>
    </row>
    <row r="224" spans="1:10" x14ac:dyDescent="0.2">
      <c r="A224" s="88" t="s">
        <v>418</v>
      </c>
      <c r="B224" s="100" t="s">
        <v>417</v>
      </c>
      <c r="C224" s="231">
        <v>500</v>
      </c>
      <c r="D224" s="87"/>
      <c r="E224" s="97"/>
      <c r="G224" s="403">
        <v>0</v>
      </c>
      <c r="H224" s="402">
        <v>0</v>
      </c>
      <c r="I224" s="405">
        <f t="shared" ref="I223:I225" si="0">C224</f>
        <v>500</v>
      </c>
      <c r="J224" s="408"/>
    </row>
    <row r="225" spans="1:10" x14ac:dyDescent="0.2">
      <c r="A225" s="88" t="s">
        <v>344</v>
      </c>
      <c r="B225" s="100" t="s">
        <v>419</v>
      </c>
      <c r="C225" s="231">
        <v>1000</v>
      </c>
      <c r="D225" s="87"/>
      <c r="E225" s="97"/>
      <c r="G225" s="403">
        <v>602.91</v>
      </c>
      <c r="H225" s="404">
        <v>0</v>
      </c>
      <c r="I225" s="405">
        <f>C225+G225</f>
        <v>1602.9099999999999</v>
      </c>
      <c r="J225" s="408"/>
    </row>
    <row r="226" spans="1:10" x14ac:dyDescent="0.2">
      <c r="A226" s="88" t="s">
        <v>515</v>
      </c>
      <c r="B226" s="100" t="s">
        <v>536</v>
      </c>
      <c r="C226" s="231">
        <v>1050</v>
      </c>
      <c r="D226" s="87"/>
      <c r="E226" s="97"/>
      <c r="G226" s="403">
        <f>907.2+543.19</f>
        <v>1450.39</v>
      </c>
      <c r="H226" s="404">
        <v>0</v>
      </c>
      <c r="I226" s="405">
        <f>C226+G226</f>
        <v>2500.3900000000003</v>
      </c>
      <c r="J226" s="408"/>
    </row>
    <row r="227" spans="1:10" x14ac:dyDescent="0.2">
      <c r="A227" s="88" t="s">
        <v>516</v>
      </c>
      <c r="B227" s="100" t="s">
        <v>535</v>
      </c>
      <c r="C227" s="231">
        <v>765</v>
      </c>
      <c r="D227" s="87"/>
      <c r="E227" s="97"/>
      <c r="G227" s="403">
        <v>0</v>
      </c>
      <c r="H227" s="404">
        <v>0</v>
      </c>
      <c r="I227" s="405">
        <f>C227</f>
        <v>765</v>
      </c>
      <c r="J227" s="408"/>
    </row>
    <row r="228" spans="1:10" x14ac:dyDescent="0.2">
      <c r="A228" s="412"/>
      <c r="B228" s="413"/>
      <c r="D228" s="291"/>
      <c r="E228" s="97"/>
      <c r="G228" s="403"/>
      <c r="H228" s="404"/>
      <c r="I228" s="405"/>
      <c r="J228" s="408"/>
    </row>
    <row r="229" spans="1:10" x14ac:dyDescent="0.2">
      <c r="A229" s="306"/>
      <c r="B229" s="307"/>
      <c r="D229" s="87"/>
      <c r="E229" s="97"/>
      <c r="G229" s="403"/>
      <c r="H229" s="404"/>
      <c r="I229" s="405"/>
      <c r="J229" s="408"/>
    </row>
    <row r="230" spans="1:10" x14ac:dyDescent="0.2">
      <c r="A230" s="420" t="s">
        <v>345</v>
      </c>
      <c r="B230" s="419" t="s">
        <v>560</v>
      </c>
      <c r="D230" s="87"/>
      <c r="E230" s="97"/>
      <c r="G230" s="403"/>
      <c r="H230" s="404"/>
      <c r="I230" s="405"/>
      <c r="J230" s="408"/>
    </row>
    <row r="231" spans="1:10" x14ac:dyDescent="0.2">
      <c r="A231" s="306" t="s">
        <v>538</v>
      </c>
      <c r="B231" s="307" t="s">
        <v>543</v>
      </c>
      <c r="D231" s="87"/>
      <c r="E231" s="97"/>
      <c r="G231" s="403"/>
      <c r="H231" s="404"/>
      <c r="I231" s="405"/>
      <c r="J231" s="408"/>
    </row>
    <row r="232" spans="1:10" x14ac:dyDescent="0.2">
      <c r="A232" s="306" t="s">
        <v>539</v>
      </c>
      <c r="B232" s="414" t="s">
        <v>541</v>
      </c>
      <c r="D232" s="87"/>
      <c r="E232" s="97"/>
      <c r="G232" s="403"/>
      <c r="H232" s="404"/>
      <c r="I232" s="405"/>
      <c r="J232" s="408"/>
    </row>
    <row r="233" spans="1:10" x14ac:dyDescent="0.2">
      <c r="A233" s="306" t="s">
        <v>530</v>
      </c>
      <c r="B233" s="415" t="s">
        <v>544</v>
      </c>
      <c r="D233" s="87"/>
      <c r="E233" s="97"/>
      <c r="G233" s="403"/>
      <c r="H233" s="404"/>
      <c r="I233" s="402"/>
      <c r="J233" s="408"/>
    </row>
    <row r="234" spans="1:10" x14ac:dyDescent="0.2">
      <c r="A234" s="306" t="s">
        <v>540</v>
      </c>
      <c r="B234" s="307" t="s">
        <v>542</v>
      </c>
      <c r="D234" s="87"/>
      <c r="E234" s="97"/>
      <c r="G234" s="422">
        <v>685.81</v>
      </c>
      <c r="H234" s="402"/>
      <c r="I234" s="402">
        <v>685.81</v>
      </c>
      <c r="J234" s="408">
        <v>685.81</v>
      </c>
    </row>
    <row r="235" spans="1:10" x14ac:dyDescent="0.2">
      <c r="A235" s="412"/>
      <c r="B235" s="413"/>
      <c r="D235" s="87"/>
      <c r="E235" s="97"/>
      <c r="G235" s="404"/>
      <c r="H235" s="402"/>
      <c r="I235" s="402"/>
      <c r="J235" s="408"/>
    </row>
    <row r="236" spans="1:10" x14ac:dyDescent="0.2">
      <c r="A236" s="285" t="s">
        <v>433</v>
      </c>
      <c r="B236" s="286" t="s">
        <v>367</v>
      </c>
      <c r="D236" s="87"/>
      <c r="E236" s="97"/>
      <c r="G236" s="396"/>
      <c r="H236" s="396"/>
      <c r="I236" s="396"/>
      <c r="J236" s="408"/>
    </row>
    <row r="237" spans="1:10" s="98" customFormat="1" ht="22.5" x14ac:dyDescent="0.2">
      <c r="A237" s="305" t="s">
        <v>345</v>
      </c>
      <c r="B237" s="222" t="s">
        <v>506</v>
      </c>
      <c r="C237" s="243"/>
      <c r="D237" s="82"/>
      <c r="E237" s="235"/>
      <c r="G237" s="396"/>
      <c r="H237" s="396"/>
      <c r="I237" s="396"/>
      <c r="J237" s="408"/>
    </row>
    <row r="238" spans="1:10" s="98" customFormat="1" x14ac:dyDescent="0.2">
      <c r="A238" s="88" t="s">
        <v>372</v>
      </c>
      <c r="B238" s="126" t="s">
        <v>373</v>
      </c>
      <c r="C238" s="231"/>
      <c r="D238" s="82"/>
      <c r="E238" s="81"/>
      <c r="F238" s="79"/>
      <c r="G238" s="396"/>
      <c r="H238" s="396"/>
      <c r="I238" s="396"/>
      <c r="J238" s="408"/>
    </row>
    <row r="239" spans="1:10" s="98" customFormat="1" x14ac:dyDescent="0.2">
      <c r="A239" s="85" t="s">
        <v>120</v>
      </c>
      <c r="B239" s="134" t="s">
        <v>346</v>
      </c>
      <c r="C239" s="234">
        <f>C240</f>
        <v>500</v>
      </c>
      <c r="D239" s="251"/>
      <c r="E239" s="81"/>
      <c r="F239" s="79"/>
      <c r="G239" s="396"/>
      <c r="H239" s="396"/>
      <c r="I239" s="396"/>
      <c r="J239" s="408"/>
    </row>
    <row r="240" spans="1:10" x14ac:dyDescent="0.2">
      <c r="A240" s="85" t="s">
        <v>126</v>
      </c>
      <c r="B240" s="126" t="s">
        <v>330</v>
      </c>
      <c r="C240" s="234">
        <f>C241</f>
        <v>500</v>
      </c>
      <c r="D240" s="87">
        <f>+C239</f>
        <v>500</v>
      </c>
      <c r="E240" s="81"/>
      <c r="F240" s="79"/>
      <c r="G240" s="396"/>
      <c r="H240" s="396"/>
      <c r="I240" s="396"/>
      <c r="J240" s="408"/>
    </row>
    <row r="241" spans="1:10" x14ac:dyDescent="0.2">
      <c r="A241" s="296" t="s">
        <v>146</v>
      </c>
      <c r="B241" s="297" t="s">
        <v>147</v>
      </c>
      <c r="C241" s="250">
        <v>500</v>
      </c>
      <c r="D241" s="87"/>
      <c r="E241" s="81"/>
      <c r="F241" s="79"/>
      <c r="G241" s="396">
        <v>0</v>
      </c>
      <c r="H241" s="396">
        <v>500</v>
      </c>
      <c r="I241" s="423">
        <v>0</v>
      </c>
      <c r="J241" s="408">
        <f>I241</f>
        <v>0</v>
      </c>
    </row>
    <row r="242" spans="1:10" x14ac:dyDescent="0.2">
      <c r="A242" s="306"/>
      <c r="B242" s="307"/>
      <c r="D242" s="87"/>
      <c r="E242" s="81"/>
      <c r="F242" s="79"/>
      <c r="G242" s="396"/>
      <c r="H242" s="396"/>
      <c r="I242" s="396"/>
      <c r="J242" s="408"/>
    </row>
    <row r="243" spans="1:10" s="98" customFormat="1" x14ac:dyDescent="0.2">
      <c r="A243" s="285" t="s">
        <v>128</v>
      </c>
      <c r="B243" s="286" t="s">
        <v>439</v>
      </c>
      <c r="C243" s="243"/>
      <c r="D243" s="87"/>
      <c r="E243" s="81"/>
      <c r="F243" s="79"/>
      <c r="G243" s="396"/>
      <c r="H243" s="396"/>
      <c r="I243" s="396"/>
      <c r="J243" s="408"/>
    </row>
    <row r="244" spans="1:10" s="98" customFormat="1" ht="22.5" x14ac:dyDescent="0.2">
      <c r="A244" s="226" t="s">
        <v>345</v>
      </c>
      <c r="B244" s="222" t="s">
        <v>440</v>
      </c>
      <c r="C244" s="243"/>
      <c r="D244" s="82"/>
      <c r="E244" s="81"/>
      <c r="F244" s="79"/>
      <c r="G244" s="396"/>
      <c r="H244" s="396"/>
      <c r="I244" s="396"/>
      <c r="J244" s="408"/>
    </row>
    <row r="245" spans="1:10" x14ac:dyDescent="0.2">
      <c r="A245" s="88" t="s">
        <v>372</v>
      </c>
      <c r="B245" s="126" t="s">
        <v>373</v>
      </c>
      <c r="C245" s="234">
        <f>C246</f>
        <v>13680</v>
      </c>
      <c r="E245" s="81"/>
      <c r="F245" s="79"/>
      <c r="G245" s="396"/>
      <c r="H245" s="396"/>
      <c r="I245" s="396"/>
      <c r="J245" s="408"/>
    </row>
    <row r="246" spans="1:10" x14ac:dyDescent="0.2">
      <c r="A246" s="237" t="s">
        <v>120</v>
      </c>
      <c r="B246" s="236" t="s">
        <v>346</v>
      </c>
      <c r="C246" s="240">
        <f>SUM(C247)</f>
        <v>13680</v>
      </c>
      <c r="D246" s="251"/>
      <c r="E246" s="81"/>
      <c r="F246" s="79"/>
      <c r="G246" s="396"/>
      <c r="H246" s="396"/>
      <c r="I246" s="396"/>
      <c r="J246" s="408"/>
    </row>
    <row r="247" spans="1:10" ht="22.5" x14ac:dyDescent="0.2">
      <c r="A247" s="237" t="s">
        <v>124</v>
      </c>
      <c r="B247" s="134" t="s">
        <v>347</v>
      </c>
      <c r="C247" s="240">
        <f>SUM(C248)</f>
        <v>13680</v>
      </c>
      <c r="D247" s="87">
        <f>+C245+C249</f>
        <v>46754.59</v>
      </c>
      <c r="G247" s="396"/>
      <c r="H247" s="396"/>
      <c r="I247" s="399">
        <f>I248</f>
        <v>22960</v>
      </c>
      <c r="J247" s="408">
        <f>I247</f>
        <v>22960</v>
      </c>
    </row>
    <row r="248" spans="1:10" ht="22.5" x14ac:dyDescent="0.2">
      <c r="A248" s="238" t="s">
        <v>517</v>
      </c>
      <c r="B248" s="135" t="s">
        <v>347</v>
      </c>
      <c r="C248" s="241">
        <v>13680</v>
      </c>
      <c r="D248" s="87"/>
      <c r="G248" s="396">
        <v>9280</v>
      </c>
      <c r="H248" s="396">
        <v>0</v>
      </c>
      <c r="I248" s="399">
        <f>C248+G248</f>
        <v>22960</v>
      </c>
      <c r="J248" s="408"/>
    </row>
    <row r="249" spans="1:10" x14ac:dyDescent="0.2">
      <c r="A249" s="238"/>
      <c r="B249" s="135"/>
      <c r="C249" s="241">
        <f>C252</f>
        <v>33074.589999999997</v>
      </c>
      <c r="D249" s="87"/>
      <c r="G249" s="396"/>
      <c r="H249" s="396"/>
      <c r="I249" s="396"/>
      <c r="J249" s="408"/>
    </row>
    <row r="250" spans="1:10" x14ac:dyDescent="0.2">
      <c r="A250" s="238" t="s">
        <v>546</v>
      </c>
      <c r="B250" s="236" t="s">
        <v>547</v>
      </c>
      <c r="C250" s="241"/>
      <c r="D250" s="87">
        <f>C251</f>
        <v>33074.589999999997</v>
      </c>
      <c r="G250" s="396"/>
      <c r="H250" s="396"/>
      <c r="I250" s="396"/>
      <c r="J250" s="408"/>
    </row>
    <row r="251" spans="1:10" x14ac:dyDescent="0.2">
      <c r="A251" s="238" t="s">
        <v>545</v>
      </c>
      <c r="B251" s="134" t="s">
        <v>514</v>
      </c>
      <c r="C251" s="241">
        <f>C252</f>
        <v>33074.589999999997</v>
      </c>
      <c r="D251" s="87"/>
      <c r="G251" s="396"/>
      <c r="H251" s="396"/>
      <c r="I251" s="396"/>
      <c r="J251" s="408"/>
    </row>
    <row r="252" spans="1:10" x14ac:dyDescent="0.2">
      <c r="A252" s="238" t="s">
        <v>513</v>
      </c>
      <c r="B252" s="135" t="s">
        <v>548</v>
      </c>
      <c r="C252" s="241">
        <v>33074.589999999997</v>
      </c>
      <c r="D252" s="87"/>
      <c r="G252" s="396">
        <v>0</v>
      </c>
      <c r="H252" s="396">
        <f>3662.4+28504.99+907.2</f>
        <v>33074.590000000004</v>
      </c>
      <c r="I252" s="399">
        <f>C252-H252</f>
        <v>0</v>
      </c>
      <c r="J252" s="408"/>
    </row>
    <row r="253" spans="1:10" x14ac:dyDescent="0.2">
      <c r="A253" s="227"/>
      <c r="B253" s="228"/>
      <c r="C253" s="246"/>
      <c r="D253" s="87"/>
      <c r="G253" s="396"/>
      <c r="H253" s="396"/>
      <c r="I253" s="396"/>
      <c r="J253" s="408"/>
    </row>
    <row r="254" spans="1:10" x14ac:dyDescent="0.2">
      <c r="G254" s="396"/>
      <c r="H254" s="396"/>
      <c r="I254" s="396"/>
      <c r="J254" s="408"/>
    </row>
    <row r="255" spans="1:10" x14ac:dyDescent="0.2">
      <c r="A255" s="226" t="s">
        <v>345</v>
      </c>
      <c r="B255" s="391" t="s">
        <v>512</v>
      </c>
      <c r="C255" s="246"/>
      <c r="D255" s="87">
        <f>C258</f>
        <v>1550</v>
      </c>
      <c r="G255" s="396"/>
      <c r="H255" s="396"/>
      <c r="I255" s="396"/>
      <c r="J255" s="408"/>
    </row>
    <row r="256" spans="1:10" s="98" customFormat="1" x14ac:dyDescent="0.2">
      <c r="A256" s="88"/>
      <c r="B256" s="100"/>
      <c r="C256" s="231"/>
      <c r="D256" s="87"/>
      <c r="E256" s="79"/>
      <c r="G256" s="396"/>
      <c r="H256" s="396"/>
      <c r="I256" s="396"/>
      <c r="J256" s="408"/>
    </row>
    <row r="257" spans="1:11" s="98" customFormat="1" x14ac:dyDescent="0.2">
      <c r="A257" s="88" t="s">
        <v>538</v>
      </c>
      <c r="B257" s="100" t="s">
        <v>543</v>
      </c>
      <c r="C257" s="231">
        <f>C258</f>
        <v>1550</v>
      </c>
      <c r="D257" s="87"/>
      <c r="E257" s="79"/>
      <c r="G257" s="396"/>
      <c r="H257" s="396"/>
      <c r="I257" s="396"/>
      <c r="J257" s="408"/>
    </row>
    <row r="258" spans="1:11" x14ac:dyDescent="0.2">
      <c r="A258" s="93">
        <v>8.4</v>
      </c>
      <c r="B258" s="416" t="s">
        <v>551</v>
      </c>
      <c r="C258" s="234">
        <f>+C260</f>
        <v>1550</v>
      </c>
      <c r="D258" s="249"/>
      <c r="G258" s="396"/>
      <c r="H258" s="396"/>
      <c r="I258" s="396"/>
      <c r="J258" s="408">
        <f>I260</f>
        <v>1351.53</v>
      </c>
    </row>
    <row r="259" spans="1:11" x14ac:dyDescent="0.2">
      <c r="A259" s="93" t="s">
        <v>530</v>
      </c>
      <c r="B259" s="131" t="s">
        <v>550</v>
      </c>
      <c r="C259" s="234">
        <f>C260</f>
        <v>1550</v>
      </c>
      <c r="D259" s="249"/>
      <c r="G259" s="396"/>
      <c r="H259" s="396"/>
      <c r="I259" s="396"/>
      <c r="J259" s="408"/>
    </row>
    <row r="260" spans="1:11" ht="22.5" x14ac:dyDescent="0.2">
      <c r="A260" s="92" t="s">
        <v>549</v>
      </c>
      <c r="B260" s="130" t="s">
        <v>473</v>
      </c>
      <c r="C260" s="231">
        <v>1550</v>
      </c>
      <c r="D260" s="249"/>
      <c r="G260" s="396">
        <v>0</v>
      </c>
      <c r="H260" s="396">
        <v>198.47</v>
      </c>
      <c r="I260" s="399">
        <f>C260-H260</f>
        <v>1351.53</v>
      </c>
      <c r="J260" s="408"/>
    </row>
    <row r="261" spans="1:11" x14ac:dyDescent="0.2">
      <c r="G261" s="396"/>
      <c r="H261" s="396"/>
      <c r="I261" s="396"/>
      <c r="J261" s="408"/>
    </row>
    <row r="262" spans="1:11" ht="15" customHeight="1" x14ac:dyDescent="0.2">
      <c r="A262" s="88" t="s">
        <v>521</v>
      </c>
      <c r="B262" s="222" t="s">
        <v>518</v>
      </c>
      <c r="C262" s="231">
        <f>C263</f>
        <v>34168.730000000003</v>
      </c>
      <c r="D262" s="87">
        <f>C262</f>
        <v>34168.730000000003</v>
      </c>
      <c r="G262" s="396">
        <v>0</v>
      </c>
      <c r="H262" s="396">
        <v>0</v>
      </c>
      <c r="I262" s="397">
        <f>D262</f>
        <v>34168.730000000003</v>
      </c>
      <c r="J262" s="408">
        <f>C264</f>
        <v>34168.730000000003</v>
      </c>
    </row>
    <row r="263" spans="1:11" x14ac:dyDescent="0.2">
      <c r="A263" s="229" t="s">
        <v>520</v>
      </c>
      <c r="B263" s="230" t="s">
        <v>522</v>
      </c>
      <c r="C263" s="233">
        <v>34168.730000000003</v>
      </c>
      <c r="D263" s="87"/>
      <c r="G263" s="396"/>
      <c r="H263" s="396"/>
      <c r="I263" s="396"/>
      <c r="J263" s="408"/>
    </row>
    <row r="264" spans="1:11" x14ac:dyDescent="0.2">
      <c r="A264" s="88" t="s">
        <v>519</v>
      </c>
      <c r="B264" s="100" t="s">
        <v>523</v>
      </c>
      <c r="C264" s="231">
        <v>34168.730000000003</v>
      </c>
      <c r="D264" s="87"/>
      <c r="G264" s="396"/>
      <c r="H264" s="396"/>
      <c r="I264" s="396"/>
      <c r="J264" s="408"/>
    </row>
    <row r="265" spans="1:11" x14ac:dyDescent="0.2">
      <c r="A265" s="242"/>
      <c r="B265" s="80"/>
      <c r="C265" s="244"/>
      <c r="D265" s="80"/>
      <c r="G265" s="396"/>
      <c r="H265" s="396"/>
      <c r="I265" s="396"/>
      <c r="J265" s="408"/>
    </row>
    <row r="266" spans="1:11" x14ac:dyDescent="0.2">
      <c r="A266" s="305" t="s">
        <v>345</v>
      </c>
      <c r="B266" s="222" t="s">
        <v>528</v>
      </c>
      <c r="C266" s="246"/>
      <c r="D266" s="87"/>
      <c r="G266" s="396"/>
      <c r="H266" s="396"/>
      <c r="I266" s="396"/>
      <c r="J266" s="408"/>
    </row>
    <row r="267" spans="1:11" s="98" customFormat="1" x14ac:dyDescent="0.2">
      <c r="A267" s="85"/>
      <c r="B267" s="126"/>
      <c r="C267" s="231"/>
      <c r="D267" s="87"/>
      <c r="E267" s="79"/>
      <c r="G267" s="396"/>
      <c r="H267" s="396"/>
      <c r="I267" s="396">
        <f>G271</f>
        <v>8142.4</v>
      </c>
      <c r="J267" s="408">
        <f>I267</f>
        <v>8142.4</v>
      </c>
    </row>
    <row r="268" spans="1:11" s="98" customFormat="1" x14ac:dyDescent="0.2">
      <c r="A268" s="88" t="s">
        <v>372</v>
      </c>
      <c r="B268" s="126" t="s">
        <v>373</v>
      </c>
      <c r="C268" s="231"/>
      <c r="D268" s="87"/>
      <c r="E268" s="79"/>
      <c r="G268" s="396"/>
      <c r="H268" s="396"/>
      <c r="I268" s="396"/>
      <c r="J268" s="408"/>
    </row>
    <row r="269" spans="1:11" s="98" customFormat="1" x14ac:dyDescent="0.2">
      <c r="A269" s="237" t="s">
        <v>120</v>
      </c>
      <c r="B269" s="236" t="s">
        <v>346</v>
      </c>
      <c r="C269" s="231"/>
      <c r="D269" s="87"/>
      <c r="E269" s="79"/>
      <c r="G269" s="396"/>
      <c r="H269" s="396"/>
      <c r="I269" s="396"/>
      <c r="J269" s="408"/>
    </row>
    <row r="270" spans="1:11" s="98" customFormat="1" x14ac:dyDescent="0.2">
      <c r="A270" s="93" t="s">
        <v>123</v>
      </c>
      <c r="B270" s="131" t="s">
        <v>472</v>
      </c>
      <c r="C270" s="234"/>
      <c r="D270" s="87"/>
      <c r="E270" s="79"/>
      <c r="G270" s="396"/>
      <c r="H270" s="396"/>
      <c r="I270" s="396"/>
      <c r="J270" s="408"/>
    </row>
    <row r="271" spans="1:11" x14ac:dyDescent="0.2">
      <c r="A271" s="92" t="s">
        <v>392</v>
      </c>
      <c r="B271" s="130" t="s">
        <v>534</v>
      </c>
      <c r="C271" s="231"/>
      <c r="D271" s="87"/>
      <c r="G271" s="396">
        <f>3662.4+4480</f>
        <v>8142.4</v>
      </c>
      <c r="H271" s="396"/>
      <c r="I271" s="396"/>
      <c r="J271" s="421"/>
      <c r="K271" s="411"/>
    </row>
    <row r="272" spans="1:11" x14ac:dyDescent="0.2">
      <c r="A272" s="242"/>
      <c r="B272" s="80"/>
      <c r="C272" s="244"/>
      <c r="D272" s="80"/>
      <c r="G272" s="396"/>
      <c r="H272" s="396"/>
      <c r="I272" s="396"/>
      <c r="J272" s="408"/>
    </row>
    <row r="273" spans="1:12" x14ac:dyDescent="0.2">
      <c r="A273" s="305" t="s">
        <v>345</v>
      </c>
      <c r="B273" s="222" t="s">
        <v>526</v>
      </c>
      <c r="C273" s="246"/>
      <c r="D273" s="87"/>
      <c r="G273" s="396"/>
      <c r="H273" s="396"/>
      <c r="I273" s="396">
        <f>G278</f>
        <v>171</v>
      </c>
      <c r="J273" s="408">
        <f>I273</f>
        <v>171</v>
      </c>
    </row>
    <row r="274" spans="1:12" s="98" customFormat="1" x14ac:dyDescent="0.2">
      <c r="A274" s="85"/>
      <c r="B274" s="126"/>
      <c r="C274" s="231"/>
      <c r="D274" s="87"/>
      <c r="E274" s="79"/>
      <c r="G274" s="396"/>
      <c r="H274" s="396"/>
      <c r="I274" s="396"/>
      <c r="J274" s="408"/>
    </row>
    <row r="275" spans="1:12" s="98" customFormat="1" x14ac:dyDescent="0.2">
      <c r="A275" s="88" t="s">
        <v>538</v>
      </c>
      <c r="B275" s="100" t="s">
        <v>543</v>
      </c>
      <c r="C275" s="231"/>
      <c r="D275" s="87"/>
      <c r="E275" s="79"/>
      <c r="G275" s="396"/>
      <c r="H275" s="396"/>
      <c r="I275" s="396"/>
      <c r="J275" s="408"/>
    </row>
    <row r="276" spans="1:12" s="98" customFormat="1" x14ac:dyDescent="0.2">
      <c r="A276" s="93">
        <v>8.4</v>
      </c>
      <c r="B276" s="416" t="s">
        <v>551</v>
      </c>
      <c r="C276" s="231"/>
      <c r="D276" s="87"/>
      <c r="E276" s="79"/>
      <c r="G276" s="396"/>
      <c r="H276" s="396"/>
      <c r="I276" s="396"/>
      <c r="J276" s="408"/>
    </row>
    <row r="277" spans="1:12" x14ac:dyDescent="0.2">
      <c r="A277" s="93" t="s">
        <v>530</v>
      </c>
      <c r="B277" s="131" t="s">
        <v>550</v>
      </c>
      <c r="C277" s="234"/>
      <c r="D277" s="87"/>
      <c r="G277" s="396"/>
      <c r="H277" s="396"/>
      <c r="I277" s="396"/>
      <c r="J277" s="408"/>
    </row>
    <row r="278" spans="1:12" x14ac:dyDescent="0.2">
      <c r="A278" s="92" t="s">
        <v>529</v>
      </c>
      <c r="B278" s="130" t="s">
        <v>527</v>
      </c>
      <c r="C278" s="231"/>
      <c r="D278" s="87"/>
      <c r="G278" s="396">
        <v>171</v>
      </c>
      <c r="H278" s="396"/>
      <c r="I278" s="396"/>
      <c r="J278" s="408"/>
    </row>
    <row r="279" spans="1:12" x14ac:dyDescent="0.2">
      <c r="A279" s="96"/>
      <c r="B279" s="132"/>
      <c r="G279" s="396"/>
      <c r="H279" s="396"/>
      <c r="I279" s="396"/>
      <c r="J279" s="408"/>
    </row>
    <row r="280" spans="1:12" x14ac:dyDescent="0.2">
      <c r="A280" s="96"/>
      <c r="B280" s="132"/>
      <c r="G280" s="396"/>
      <c r="H280" s="396"/>
      <c r="I280" s="396"/>
      <c r="J280" s="408"/>
    </row>
    <row r="281" spans="1:12" x14ac:dyDescent="0.2">
      <c r="A281" s="96"/>
      <c r="B281" s="132"/>
    </row>
    <row r="282" spans="1:12" ht="15.75" x14ac:dyDescent="0.25">
      <c r="B282" s="392" t="s">
        <v>225</v>
      </c>
      <c r="C282" s="393"/>
      <c r="D282" s="394">
        <f>+D247
+D240+D214+D189+D170+D154+D140+D108+D78+D6+D255+D200+D262</f>
        <v>321814.24579999998</v>
      </c>
      <c r="G282" s="82"/>
      <c r="J282" s="407">
        <f>J273+J267+J262+J258+J247+J241+J214+J200+J189+J170+J154+J140+J108+J78+J6+J234</f>
        <v>321814.24579999998</v>
      </c>
      <c r="L282" s="97"/>
    </row>
    <row r="283" spans="1:12" x14ac:dyDescent="0.2">
      <c r="A283" s="80"/>
      <c r="B283" s="80"/>
      <c r="C283" s="80"/>
      <c r="D283" s="80"/>
    </row>
    <row r="284" spans="1:12" x14ac:dyDescent="0.2">
      <c r="A284" s="80"/>
      <c r="B284" s="80"/>
      <c r="C284" s="80"/>
      <c r="D284" s="80"/>
    </row>
    <row r="285" spans="1:12" x14ac:dyDescent="0.2">
      <c r="A285" s="80"/>
      <c r="B285" s="80"/>
      <c r="C285" s="80"/>
      <c r="D285" s="80"/>
    </row>
    <row r="287" spans="1:12" x14ac:dyDescent="0.2">
      <c r="B287" s="125" t="s">
        <v>336</v>
      </c>
      <c r="C287" s="243" t="s">
        <v>359</v>
      </c>
    </row>
    <row r="288" spans="1:12" x14ac:dyDescent="0.2">
      <c r="B288" s="125" t="s">
        <v>227</v>
      </c>
      <c r="C288" s="243" t="s">
        <v>360</v>
      </c>
    </row>
    <row r="292" spans="1:3" x14ac:dyDescent="0.2">
      <c r="A292" s="99" t="s">
        <v>537</v>
      </c>
      <c r="B292" s="125">
        <v>20</v>
      </c>
      <c r="C292" s="243">
        <f>A292*B292</f>
        <v>4000</v>
      </c>
    </row>
    <row r="293" spans="1:3" x14ac:dyDescent="0.2">
      <c r="C293" s="243">
        <f>C292*12/100</f>
        <v>480</v>
      </c>
    </row>
    <row r="294" spans="1:3" x14ac:dyDescent="0.2">
      <c r="C294" s="243">
        <f>SUM(C292:C293)</f>
        <v>4480</v>
      </c>
    </row>
  </sheetData>
  <mergeCells count="3">
    <mergeCell ref="A1:D1"/>
    <mergeCell ref="J2:J3"/>
    <mergeCell ref="G2:I2"/>
  </mergeCells>
  <pageMargins left="0.70866141732283472" right="0.70866141732283472" top="1.3125" bottom="0.86614173228346458" header="0.31496062992125984" footer="0.31496062992125984"/>
  <pageSetup paperSize="9" fitToHeight="2" orientation="portrait" r:id="rId1"/>
  <headerFooter>
    <oddHeader>&amp;C&amp;"Harrington,Negrita"&amp;15
PRESUPUESTO AÑO 2015
GASTOS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workbookViewId="0">
      <selection activeCell="J23" sqref="J23"/>
    </sheetView>
  </sheetViews>
  <sheetFormatPr baseColWidth="10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 x14ac:dyDescent="0.3">
      <c r="B1" s="78" t="s">
        <v>230</v>
      </c>
      <c r="C1" s="78"/>
    </row>
    <row r="2" spans="2:19" ht="20.25" hidden="1" x14ac:dyDescent="0.3">
      <c r="B2" s="78"/>
      <c r="C2" s="78"/>
    </row>
    <row r="3" spans="2:19" ht="20.25" hidden="1" x14ac:dyDescent="0.3">
      <c r="B3" s="78"/>
      <c r="C3" s="78"/>
      <c r="D3" s="136"/>
    </row>
    <row r="4" spans="2:19" ht="20.25" hidden="1" x14ac:dyDescent="0.3">
      <c r="B4" s="78"/>
      <c r="C4" s="78"/>
      <c r="F4" s="136"/>
    </row>
    <row r="5" spans="2:19" ht="20.25" x14ac:dyDescent="0.3">
      <c r="B5" s="78"/>
      <c r="C5" s="78"/>
    </row>
    <row r="6" spans="2:19" ht="15" thickBot="1" x14ac:dyDescent="0.25"/>
    <row r="7" spans="2:19" ht="76.5" customHeight="1" x14ac:dyDescent="0.2">
      <c r="B7" s="53"/>
      <c r="C7" s="52"/>
      <c r="D7" s="50" t="s">
        <v>34</v>
      </c>
      <c r="E7" s="50" t="s">
        <v>33</v>
      </c>
      <c r="F7" s="50" t="s">
        <v>32</v>
      </c>
      <c r="G7" s="50" t="s">
        <v>31</v>
      </c>
      <c r="H7" s="50" t="s">
        <v>30</v>
      </c>
      <c r="I7" s="50" t="s">
        <v>29</v>
      </c>
      <c r="J7" s="51" t="s">
        <v>28</v>
      </c>
      <c r="K7" s="46"/>
      <c r="L7" s="50" t="s">
        <v>314</v>
      </c>
      <c r="M7" s="50" t="s">
        <v>26</v>
      </c>
      <c r="N7" s="50" t="s">
        <v>25</v>
      </c>
      <c r="O7" s="50" t="s">
        <v>24</v>
      </c>
      <c r="P7" s="50" t="s">
        <v>23</v>
      </c>
      <c r="Q7" s="50" t="s">
        <v>42</v>
      </c>
      <c r="R7" s="50" t="s">
        <v>41</v>
      </c>
      <c r="S7" s="46"/>
    </row>
    <row r="8" spans="2:19" s="19" customFormat="1" ht="15" thickBot="1" x14ac:dyDescent="0.25">
      <c r="B8" s="49" t="s">
        <v>40</v>
      </c>
      <c r="C8" s="48"/>
      <c r="D8" s="152">
        <v>0.34065000000000001</v>
      </c>
      <c r="E8" s="45"/>
      <c r="F8" s="45"/>
      <c r="G8" s="45"/>
      <c r="H8" s="45"/>
      <c r="I8" s="150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 x14ac:dyDescent="0.25">
      <c r="B9" s="44" t="s">
        <v>39</v>
      </c>
      <c r="C9" s="43" t="s">
        <v>38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 x14ac:dyDescent="0.2">
      <c r="B10" s="39" t="s">
        <v>22</v>
      </c>
      <c r="C10" s="38" t="s">
        <v>21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 x14ac:dyDescent="0.2">
      <c r="B11" s="61"/>
      <c r="C11" s="62" t="s">
        <v>192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386.25</v>
      </c>
      <c r="H11" s="22">
        <f t="shared" ref="H11:H16" si="2">+D11</f>
        <v>1042.8499999999999</v>
      </c>
      <c r="I11" s="22">
        <f>+(D11*$I$8)*12</f>
        <v>1395.3332999999998</v>
      </c>
      <c r="J11" s="59">
        <f>SUM(E11:I11)</f>
        <v>16381.4833</v>
      </c>
      <c r="K11" s="58"/>
      <c r="L11" s="22"/>
      <c r="M11" s="22">
        <v>200</v>
      </c>
      <c r="N11" s="22"/>
      <c r="O11" s="22">
        <f>375*3%</f>
        <v>11.25</v>
      </c>
      <c r="P11" s="22">
        <v>4000</v>
      </c>
      <c r="Q11" s="22"/>
      <c r="R11" s="22"/>
      <c r="S11" s="58"/>
    </row>
    <row r="12" spans="2:19" x14ac:dyDescent="0.2">
      <c r="B12" s="61"/>
      <c r="C12" s="61" t="s">
        <v>193</v>
      </c>
      <c r="D12" s="22">
        <v>386.25</v>
      </c>
      <c r="E12" s="22">
        <f t="shared" si="0"/>
        <v>4635</v>
      </c>
      <c r="F12" s="22">
        <f t="shared" si="1"/>
        <v>386.25</v>
      </c>
      <c r="G12" s="22">
        <f>+G11</f>
        <v>386.25</v>
      </c>
      <c r="H12" s="22">
        <f t="shared" si="2"/>
        <v>386.25</v>
      </c>
      <c r="I12" s="22">
        <f t="shared" ref="I12:I17" si="3">+(D12*$I$8)*12</f>
        <v>516.80250000000001</v>
      </c>
      <c r="J12" s="59">
        <f t="shared" ref="J12:J17" si="4">SUM(E12:I12)</f>
        <v>6310.5524999999998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 x14ac:dyDescent="0.2">
      <c r="B13" s="61"/>
      <c r="C13" s="61" t="s">
        <v>194</v>
      </c>
      <c r="D13" s="22">
        <f>+D12</f>
        <v>386.25</v>
      </c>
      <c r="E13" s="22">
        <f t="shared" si="0"/>
        <v>4635</v>
      </c>
      <c r="F13" s="22">
        <f t="shared" si="1"/>
        <v>386.25</v>
      </c>
      <c r="G13" s="22">
        <f>+G12</f>
        <v>386.25</v>
      </c>
      <c r="H13" s="22">
        <f t="shared" si="2"/>
        <v>386.25</v>
      </c>
      <c r="I13" s="22">
        <f t="shared" si="3"/>
        <v>516.80250000000001</v>
      </c>
      <c r="J13" s="59">
        <f t="shared" si="4"/>
        <v>6310.5524999999998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 x14ac:dyDescent="0.2">
      <c r="B14" s="61"/>
      <c r="C14" s="61" t="s">
        <v>195</v>
      </c>
      <c r="D14" s="22">
        <f>+D13</f>
        <v>386.25</v>
      </c>
      <c r="E14" s="22">
        <f t="shared" si="0"/>
        <v>4635</v>
      </c>
      <c r="F14" s="22">
        <f t="shared" si="1"/>
        <v>386.25</v>
      </c>
      <c r="G14" s="22">
        <f>+G13</f>
        <v>386.25</v>
      </c>
      <c r="H14" s="22">
        <f t="shared" si="2"/>
        <v>386.25</v>
      </c>
      <c r="I14" s="22">
        <f t="shared" si="3"/>
        <v>516.80250000000001</v>
      </c>
      <c r="J14" s="59">
        <f t="shared" si="4"/>
        <v>6310.5524999999998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 x14ac:dyDescent="0.2">
      <c r="B15" s="61"/>
      <c r="C15" s="61" t="s">
        <v>196</v>
      </c>
      <c r="D15" s="22">
        <f>+D14</f>
        <v>386.25</v>
      </c>
      <c r="E15" s="22">
        <f t="shared" si="0"/>
        <v>4635</v>
      </c>
      <c r="F15" s="22">
        <f t="shared" si="1"/>
        <v>386.25</v>
      </c>
      <c r="G15" s="22">
        <f>+G14</f>
        <v>386.25</v>
      </c>
      <c r="H15" s="22">
        <f t="shared" si="2"/>
        <v>386.25</v>
      </c>
      <c r="I15" s="22">
        <f t="shared" si="3"/>
        <v>516.80250000000001</v>
      </c>
      <c r="J15" s="59">
        <f t="shared" si="4"/>
        <v>6310.5524999999998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 x14ac:dyDescent="0.2">
      <c r="B16" s="61"/>
      <c r="C16" s="61" t="s">
        <v>197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386.25</v>
      </c>
      <c r="H16" s="22">
        <f t="shared" si="2"/>
        <v>555</v>
      </c>
      <c r="I16" s="22">
        <f t="shared" si="3"/>
        <v>742.59</v>
      </c>
      <c r="J16" s="59">
        <f t="shared" si="4"/>
        <v>8898.84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 x14ac:dyDescent="0.25">
      <c r="B17" s="61"/>
      <c r="C17" s="61" t="s">
        <v>198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 x14ac:dyDescent="0.25">
      <c r="B18" s="34"/>
      <c r="C18" s="33" t="s">
        <v>35</v>
      </c>
      <c r="D18" s="57">
        <f>SUM(D11:D17)</f>
        <v>3142.85</v>
      </c>
      <c r="E18" s="57">
        <f>SUM(E11:E16)</f>
        <v>37714.199999999997</v>
      </c>
      <c r="F18" s="57">
        <f>SUM(F11:F17)</f>
        <v>3142.85</v>
      </c>
      <c r="G18" s="57">
        <f>SUM(G11:G17)</f>
        <v>2317.5</v>
      </c>
      <c r="H18" s="57">
        <f>SUM(H11:H16)</f>
        <v>3142.85</v>
      </c>
      <c r="I18" s="57">
        <f>SUM(I11:I17)</f>
        <v>4205.1332999999995</v>
      </c>
      <c r="J18" s="57">
        <f>SUM(J11:J17)</f>
        <v>50522.533299999996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11.25</v>
      </c>
      <c r="P18" s="57">
        <f>SUM(P11:P17)</f>
        <v>7600</v>
      </c>
      <c r="Q18" s="57"/>
      <c r="R18" s="57"/>
      <c r="S18" s="55"/>
    </row>
    <row r="19" spans="2:19" ht="15" thickBot="1" x14ac:dyDescent="0.25">
      <c r="B19" s="44" t="s">
        <v>315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 x14ac:dyDescent="0.2">
      <c r="B20" s="39" t="s">
        <v>22</v>
      </c>
      <c r="C20" s="38" t="s">
        <v>21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 x14ac:dyDescent="0.2">
      <c r="B21" s="61"/>
      <c r="C21" s="62" t="s">
        <v>316</v>
      </c>
      <c r="D21" s="22">
        <v>386.25</v>
      </c>
      <c r="E21" s="22">
        <f>+D21*12</f>
        <v>4635</v>
      </c>
      <c r="F21" s="22">
        <f>+D21</f>
        <v>386.25</v>
      </c>
      <c r="G21" s="22">
        <f>+D21</f>
        <v>386.25</v>
      </c>
      <c r="H21" s="22"/>
      <c r="I21" s="22">
        <f>+(D21*$I$8)*12</f>
        <v>516.80250000000001</v>
      </c>
      <c r="J21" s="59">
        <f>SUM(E21:I21)</f>
        <v>5924.3024999999998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 x14ac:dyDescent="0.2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 x14ac:dyDescent="0.2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 x14ac:dyDescent="0.2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 x14ac:dyDescent="0.2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 x14ac:dyDescent="0.2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 x14ac:dyDescent="0.25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 x14ac:dyDescent="0.25">
      <c r="B28" s="34"/>
      <c r="C28" s="33" t="s">
        <v>35</v>
      </c>
      <c r="D28" s="57">
        <f t="shared" ref="D28:J28" si="6">SUM(D21:D27)</f>
        <v>386.25</v>
      </c>
      <c r="E28" s="57">
        <f t="shared" si="6"/>
        <v>4635</v>
      </c>
      <c r="F28" s="57">
        <f t="shared" si="6"/>
        <v>386.25</v>
      </c>
      <c r="G28" s="57">
        <f t="shared" si="6"/>
        <v>386.25</v>
      </c>
      <c r="H28" s="57">
        <f t="shared" si="6"/>
        <v>0</v>
      </c>
      <c r="I28" s="57">
        <f t="shared" si="6"/>
        <v>516.80250000000001</v>
      </c>
      <c r="J28" s="32">
        <f t="shared" si="6"/>
        <v>5924.3024999999998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 x14ac:dyDescent="0.25">
      <c r="B29" s="44" t="s">
        <v>37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 x14ac:dyDescent="0.2">
      <c r="B30" s="39" t="s">
        <v>22</v>
      </c>
      <c r="C30" s="38" t="s">
        <v>21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 x14ac:dyDescent="0.25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 x14ac:dyDescent="0.25">
      <c r="B32" s="73"/>
      <c r="C32" s="72" t="s">
        <v>35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 x14ac:dyDescent="0.25">
      <c r="B33" s="54"/>
      <c r="C33" s="28" t="s">
        <v>20</v>
      </c>
      <c r="D33" s="25"/>
      <c r="E33" s="25">
        <f t="shared" ref="E33:J33" si="8">+E32+E28+E18</f>
        <v>42349.2</v>
      </c>
      <c r="F33" s="25">
        <f t="shared" si="8"/>
        <v>3529.1</v>
      </c>
      <c r="G33" s="25">
        <f t="shared" si="8"/>
        <v>2703.75</v>
      </c>
      <c r="H33" s="25">
        <f t="shared" si="8"/>
        <v>3142.85</v>
      </c>
      <c r="I33" s="25">
        <f t="shared" si="8"/>
        <v>4721.9357999999993</v>
      </c>
      <c r="J33" s="27">
        <f t="shared" si="8"/>
        <v>56446.835799999993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11.25</v>
      </c>
      <c r="P33" s="27">
        <f>+P32+P28+P18</f>
        <v>7600</v>
      </c>
      <c r="Q33" s="25"/>
      <c r="R33" s="25"/>
      <c r="S33" s="21"/>
    </row>
    <row r="34" spans="2:19" s="66" customFormat="1" ht="15" thickBot="1" x14ac:dyDescent="0.25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 x14ac:dyDescent="0.2">
      <c r="B35" s="53"/>
      <c r="C35" s="52"/>
      <c r="D35" s="50"/>
      <c r="E35" s="50" t="s">
        <v>33</v>
      </c>
      <c r="F35" s="50" t="s">
        <v>32</v>
      </c>
      <c r="G35" s="50" t="s">
        <v>31</v>
      </c>
      <c r="H35" s="50" t="s">
        <v>30</v>
      </c>
      <c r="I35" s="50" t="s">
        <v>29</v>
      </c>
      <c r="J35" s="51" t="s">
        <v>28</v>
      </c>
      <c r="K35" s="46"/>
      <c r="L35" s="50" t="s">
        <v>27</v>
      </c>
      <c r="M35" s="50" t="s">
        <v>26</v>
      </c>
      <c r="N35" s="50" t="s">
        <v>25</v>
      </c>
      <c r="O35" s="50" t="s">
        <v>24</v>
      </c>
      <c r="P35" s="50" t="s">
        <v>23</v>
      </c>
      <c r="Q35" s="50"/>
      <c r="R35" s="50"/>
      <c r="S35" s="46"/>
    </row>
    <row r="36" spans="2:19" s="19" customFormat="1" ht="15" thickBot="1" x14ac:dyDescent="0.25">
      <c r="B36" s="49" t="s">
        <v>200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 x14ac:dyDescent="0.25">
      <c r="B37" s="44" t="s">
        <v>36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 x14ac:dyDescent="0.2">
      <c r="B38" s="39" t="s">
        <v>22</v>
      </c>
      <c r="C38" s="38" t="s">
        <v>21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 x14ac:dyDescent="0.2">
      <c r="B39" s="61" t="s">
        <v>394</v>
      </c>
      <c r="C39" s="62" t="s">
        <v>395</v>
      </c>
      <c r="D39" s="22">
        <v>0</v>
      </c>
      <c r="E39" s="22">
        <f>D39*12</f>
        <v>0</v>
      </c>
      <c r="F39" s="22">
        <f>D39</f>
        <v>0</v>
      </c>
      <c r="G39" s="22">
        <v>375</v>
      </c>
      <c r="H39" s="22">
        <f>(D39/12)*8</f>
        <v>0</v>
      </c>
      <c r="I39" s="22">
        <f>E39*11.35%</f>
        <v>0</v>
      </c>
      <c r="J39" s="59">
        <f>E39+F39+G39+H39+I39</f>
        <v>375</v>
      </c>
      <c r="K39" s="58"/>
      <c r="L39" s="22"/>
      <c r="M39" s="22"/>
      <c r="N39" s="22"/>
      <c r="O39" s="22"/>
      <c r="P39" s="22"/>
      <c r="Q39" s="22"/>
      <c r="R39" s="22"/>
      <c r="S39" s="58"/>
    </row>
    <row r="40" spans="2:19" x14ac:dyDescent="0.2">
      <c r="B40" s="61"/>
      <c r="C40" s="106"/>
      <c r="D40" s="107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 x14ac:dyDescent="0.25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 x14ac:dyDescent="0.25">
      <c r="B42" s="34"/>
      <c r="C42" s="33" t="s">
        <v>35</v>
      </c>
      <c r="D42" s="30"/>
      <c r="E42" s="30">
        <f t="shared" ref="E42:J42" si="9">SUM(E39:E40)</f>
        <v>0</v>
      </c>
      <c r="F42" s="30">
        <f t="shared" si="9"/>
        <v>0</v>
      </c>
      <c r="G42" s="30">
        <f t="shared" si="9"/>
        <v>375</v>
      </c>
      <c r="H42" s="30">
        <f t="shared" si="9"/>
        <v>0</v>
      </c>
      <c r="I42" s="30">
        <f t="shared" si="9"/>
        <v>0</v>
      </c>
      <c r="J42" s="30">
        <f t="shared" si="9"/>
        <v>375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 x14ac:dyDescent="0.25">
      <c r="B43" s="29"/>
      <c r="C43" s="28" t="s">
        <v>20</v>
      </c>
      <c r="D43" s="25"/>
      <c r="E43" s="25">
        <f t="shared" ref="E43:J43" si="10">+E42</f>
        <v>0</v>
      </c>
      <c r="F43" s="25">
        <f t="shared" si="10"/>
        <v>0</v>
      </c>
      <c r="G43" s="25">
        <f t="shared" si="10"/>
        <v>375</v>
      </c>
      <c r="H43" s="25">
        <f t="shared" si="10"/>
        <v>0</v>
      </c>
      <c r="I43" s="25">
        <f t="shared" si="10"/>
        <v>0</v>
      </c>
      <c r="J43" s="27">
        <f t="shared" si="10"/>
        <v>375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 x14ac:dyDescent="0.2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 x14ac:dyDescent="0.2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 x14ac:dyDescent="0.2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 x14ac:dyDescent="0.2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 x14ac:dyDescent="0.2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 x14ac:dyDescent="0.2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 x14ac:dyDescent="0.25"/>
    <row r="51" spans="2:20" ht="24" thickBot="1" x14ac:dyDescent="0.4">
      <c r="B51" s="18" t="s">
        <v>201</v>
      </c>
      <c r="C51" s="15"/>
      <c r="D51" s="14"/>
      <c r="E51" s="14">
        <f t="shared" ref="E51:J51" si="11">E43+E33</f>
        <v>42349.2</v>
      </c>
      <c r="F51" s="14">
        <f t="shared" si="11"/>
        <v>3529.1</v>
      </c>
      <c r="G51" s="14">
        <f t="shared" si="11"/>
        <v>3078.75</v>
      </c>
      <c r="H51" s="14">
        <f t="shared" si="11"/>
        <v>3142.85</v>
      </c>
      <c r="I51" s="14">
        <f t="shared" si="11"/>
        <v>4721.9357999999993</v>
      </c>
      <c r="J51" s="14">
        <f t="shared" si="11"/>
        <v>56821.835799999993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11.25</v>
      </c>
      <c r="P51" s="14" t="e">
        <f>+#REF!+P43+P33+#REF!</f>
        <v>#REF!</v>
      </c>
      <c r="Q51" s="14"/>
      <c r="R51" s="17"/>
      <c r="T51" s="4"/>
    </row>
    <row r="52" spans="2:20" x14ac:dyDescent="0.2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36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30"/>
  <sheetViews>
    <sheetView topLeftCell="B66" zoomScale="140" zoomScaleNormal="140" workbookViewId="0">
      <selection activeCell="E60" sqref="E60:F69"/>
    </sheetView>
  </sheetViews>
  <sheetFormatPr baseColWidth="10" defaultRowHeight="15" x14ac:dyDescent="0.25"/>
  <cols>
    <col min="2" max="2" width="43.28515625" customWidth="1"/>
    <col min="3" max="3" width="18.85546875" style="327" bestFit="1" customWidth="1"/>
    <col min="5" max="5" width="24.85546875" customWidth="1"/>
  </cols>
  <sheetData>
    <row r="2" spans="2:5" x14ac:dyDescent="0.25">
      <c r="B2" s="163" t="s">
        <v>235</v>
      </c>
      <c r="C2" s="329">
        <f>+INGRESOS!L57</f>
        <v>321814.23666666669</v>
      </c>
      <c r="D2" s="434" t="s">
        <v>219</v>
      </c>
      <c r="E2" s="434"/>
    </row>
    <row r="3" spans="2:5" x14ac:dyDescent="0.25">
      <c r="B3" s="164" t="s">
        <v>236</v>
      </c>
      <c r="C3" s="327">
        <f>+(INGRESOS!L25+INGRESOS!L35)</f>
        <v>153750</v>
      </c>
      <c r="D3" s="165"/>
      <c r="E3" s="165"/>
    </row>
    <row r="4" spans="2:5" x14ac:dyDescent="0.25">
      <c r="B4" s="164" t="s">
        <v>237</v>
      </c>
      <c r="C4" s="327">
        <f>+INGRESOS!L26</f>
        <v>1200</v>
      </c>
      <c r="D4" s="165"/>
      <c r="E4" s="218">
        <f>+C2-INGRESOS!L57</f>
        <v>0</v>
      </c>
    </row>
    <row r="5" spans="2:5" x14ac:dyDescent="0.25">
      <c r="B5" s="164" t="s">
        <v>238</v>
      </c>
      <c r="D5" s="165"/>
      <c r="E5" s="165"/>
    </row>
    <row r="6" spans="2:5" x14ac:dyDescent="0.25">
      <c r="B6" s="164" t="s">
        <v>270</v>
      </c>
      <c r="C6" s="327">
        <f>+INGRESOS!L33</f>
        <v>42000</v>
      </c>
      <c r="D6" s="165"/>
      <c r="E6" s="165"/>
    </row>
    <row r="7" spans="2:5" x14ac:dyDescent="0.25">
      <c r="B7" s="164" t="s">
        <v>455</v>
      </c>
      <c r="C7" s="327">
        <f>+INGRESOS!L39</f>
        <v>7466.666666666667</v>
      </c>
      <c r="D7" s="165"/>
      <c r="E7" s="165"/>
    </row>
    <row r="8" spans="2:5" x14ac:dyDescent="0.25">
      <c r="B8" s="164" t="s">
        <v>340</v>
      </c>
      <c r="C8" s="327">
        <f>+INGRESOS!L48</f>
        <v>26017.94</v>
      </c>
      <c r="D8" s="212"/>
      <c r="E8" s="212"/>
    </row>
    <row r="9" spans="2:5" x14ac:dyDescent="0.25">
      <c r="B9" t="s">
        <v>239</v>
      </c>
      <c r="C9" s="329">
        <f>+INGRESOS!L43</f>
        <v>91379.63</v>
      </c>
    </row>
    <row r="10" spans="2:5" x14ac:dyDescent="0.25">
      <c r="B10" s="163" t="s">
        <v>219</v>
      </c>
    </row>
    <row r="11" spans="2:5" x14ac:dyDescent="0.25">
      <c r="B11" s="350" t="s">
        <v>469</v>
      </c>
      <c r="C11" s="358" t="s">
        <v>138</v>
      </c>
      <c r="D11" s="151" t="e">
        <f>+INGRESOS!L6-C11</f>
        <v>#VALUE!</v>
      </c>
    </row>
    <row r="12" spans="2:5" ht="15.75" x14ac:dyDescent="0.25">
      <c r="B12" s="166" t="s">
        <v>240</v>
      </c>
      <c r="C12" s="330">
        <f>+DISTRIBUTIVO!E11</f>
        <v>12514.199999999999</v>
      </c>
    </row>
    <row r="13" spans="2:5" ht="15.75" x14ac:dyDescent="0.25">
      <c r="B13" s="166" t="s">
        <v>241</v>
      </c>
      <c r="C13" s="330">
        <f>+DISTRIBUTIVO!E16</f>
        <v>6660</v>
      </c>
    </row>
    <row r="14" spans="2:5" ht="15.75" x14ac:dyDescent="0.25">
      <c r="B14" s="166" t="s">
        <v>242</v>
      </c>
      <c r="C14" s="330">
        <f>+DISTRIBUTIVO!E12+DISTRIBUTIVO!E13+DISTRIBUTIVO!E14+DISTRIBUTIVO!E15</f>
        <v>18540</v>
      </c>
    </row>
    <row r="15" spans="2:5" ht="15.75" x14ac:dyDescent="0.25">
      <c r="B15" s="166" t="s">
        <v>243</v>
      </c>
      <c r="C15" s="330">
        <f>+DISTRIBUTIVO!F11</f>
        <v>1042.8499999999999</v>
      </c>
    </row>
    <row r="16" spans="2:5" ht="15.75" x14ac:dyDescent="0.25">
      <c r="B16" s="166" t="s">
        <v>244</v>
      </c>
      <c r="C16" s="330">
        <f>+DISTRIBUTIVO!G11</f>
        <v>386.25</v>
      </c>
    </row>
    <row r="17" spans="2:5" ht="15.75" x14ac:dyDescent="0.25">
      <c r="B17" s="166" t="s">
        <v>245</v>
      </c>
      <c r="C17" s="330">
        <f>+DISTRIBUTIVO!F16</f>
        <v>555</v>
      </c>
    </row>
    <row r="18" spans="2:5" ht="15.75" x14ac:dyDescent="0.25">
      <c r="B18" s="166" t="s">
        <v>246</v>
      </c>
      <c r="C18" s="330">
        <f>+DISTRIBUTIVO!G16</f>
        <v>386.25</v>
      </c>
    </row>
    <row r="19" spans="2:5" ht="15.75" x14ac:dyDescent="0.25">
      <c r="B19" s="166" t="s">
        <v>247</v>
      </c>
      <c r="C19" s="330">
        <f>+DISTRIBUTIVO!F12+DISTRIBUTIVO!F13+DISTRIBUTIVO!F14+DISTRIBUTIVO!F15</f>
        <v>1545</v>
      </c>
    </row>
    <row r="20" spans="2:5" ht="15.75" x14ac:dyDescent="0.25">
      <c r="B20" s="166" t="s">
        <v>319</v>
      </c>
      <c r="C20" s="330">
        <f>+DISTRIBUTIVO!G12+DISTRIBUTIVO!G13+ DISTRIBUTIVO!G14+DISTRIBUTIVO!G15</f>
        <v>1545</v>
      </c>
    </row>
    <row r="21" spans="2:5" ht="15.75" x14ac:dyDescent="0.25">
      <c r="B21" s="166" t="s">
        <v>248</v>
      </c>
      <c r="C21" s="330">
        <f>+DISTRIBUTIVO!H11</f>
        <v>1042.8499999999999</v>
      </c>
    </row>
    <row r="22" spans="2:5" ht="15.75" x14ac:dyDescent="0.25">
      <c r="B22" s="166" t="s">
        <v>249</v>
      </c>
      <c r="C22" s="330">
        <f>+DISTRIBUTIVO!H16</f>
        <v>555</v>
      </c>
    </row>
    <row r="23" spans="2:5" ht="15.75" x14ac:dyDescent="0.25">
      <c r="B23" s="166" t="s">
        <v>250</v>
      </c>
      <c r="C23" s="330">
        <f>+DISTRIBUTIVO!H12+DISTRIBUTIVO!H13+DISTRIBUTIVO!H14+DISTRIBUTIVO!H15</f>
        <v>1545</v>
      </c>
    </row>
    <row r="24" spans="2:5" ht="15.75" x14ac:dyDescent="0.25">
      <c r="B24" s="166" t="s">
        <v>251</v>
      </c>
      <c r="C24" s="330">
        <f>+DISTRIBUTIVO!I11</f>
        <v>1395.3332999999998</v>
      </c>
    </row>
    <row r="25" spans="2:5" ht="15.75" x14ac:dyDescent="0.25">
      <c r="B25" s="166" t="s">
        <v>252</v>
      </c>
      <c r="C25" s="330">
        <f>+DISTRIBUTIVO!I16</f>
        <v>742.59</v>
      </c>
    </row>
    <row r="26" spans="2:5" ht="15.75" x14ac:dyDescent="0.25">
      <c r="B26" s="166" t="s">
        <v>253</v>
      </c>
      <c r="C26" s="330">
        <f>+DISTRIBUTIVO!I12+DISTRIBUTIVO!I13+DISTRIBUTIVO!I14+DISTRIBUTIVO!I15</f>
        <v>2067.21</v>
      </c>
      <c r="E26">
        <v>354</v>
      </c>
    </row>
    <row r="27" spans="2:5" ht="15.75" x14ac:dyDescent="0.25">
      <c r="B27" s="166" t="s">
        <v>318</v>
      </c>
      <c r="C27" s="330">
        <f>+DISTRIBUTIVO!L18</f>
        <v>0</v>
      </c>
    </row>
    <row r="28" spans="2:5" ht="15.75" x14ac:dyDescent="0.25">
      <c r="B28" s="166" t="s">
        <v>421</v>
      </c>
      <c r="C28" s="330">
        <v>1140</v>
      </c>
    </row>
    <row r="29" spans="2:5" ht="15.75" x14ac:dyDescent="0.25">
      <c r="B29" s="167" t="s">
        <v>254</v>
      </c>
      <c r="C29" s="331">
        <v>800</v>
      </c>
    </row>
    <row r="30" spans="2:5" ht="15.75" x14ac:dyDescent="0.25">
      <c r="B30" s="167" t="s">
        <v>255</v>
      </c>
      <c r="C30" s="331">
        <v>600</v>
      </c>
      <c r="E30">
        <v>62220</v>
      </c>
    </row>
    <row r="31" spans="2:5" ht="15.75" x14ac:dyDescent="0.25">
      <c r="B31" s="167" t="s">
        <v>365</v>
      </c>
      <c r="C31" s="331">
        <v>1000</v>
      </c>
      <c r="E31" s="151">
        <f>+E30-C48</f>
        <v>-2003.7832999999882</v>
      </c>
    </row>
    <row r="32" spans="2:5" ht="15.75" x14ac:dyDescent="0.25">
      <c r="B32" s="167" t="s">
        <v>203</v>
      </c>
      <c r="C32" s="331">
        <v>400</v>
      </c>
      <c r="D32">
        <f>40*12</f>
        <v>480</v>
      </c>
    </row>
    <row r="33" spans="2:4" ht="15.75" x14ac:dyDescent="0.25">
      <c r="B33" s="167" t="s">
        <v>361</v>
      </c>
      <c r="C33" s="331">
        <v>400</v>
      </c>
    </row>
    <row r="34" spans="2:4" ht="15.75" x14ac:dyDescent="0.25">
      <c r="B34" s="167" t="s">
        <v>256</v>
      </c>
      <c r="C34" s="331">
        <v>150</v>
      </c>
    </row>
    <row r="35" spans="2:4" ht="15.75" x14ac:dyDescent="0.25">
      <c r="B35" s="167" t="s">
        <v>271</v>
      </c>
      <c r="C35" s="331">
        <v>100</v>
      </c>
    </row>
    <row r="36" spans="2:4" ht="15.75" x14ac:dyDescent="0.25">
      <c r="B36" s="167" t="s">
        <v>257</v>
      </c>
      <c r="C36" s="331">
        <v>250</v>
      </c>
    </row>
    <row r="37" spans="2:4" ht="15.75" x14ac:dyDescent="0.25">
      <c r="B37" s="167" t="s">
        <v>258</v>
      </c>
      <c r="C37" s="331">
        <v>350</v>
      </c>
    </row>
    <row r="38" spans="2:4" ht="15.75" x14ac:dyDescent="0.25">
      <c r="B38" s="167" t="s">
        <v>259</v>
      </c>
      <c r="C38" s="331">
        <v>150</v>
      </c>
    </row>
    <row r="39" spans="2:4" ht="15.75" x14ac:dyDescent="0.25">
      <c r="B39" s="167" t="s">
        <v>456</v>
      </c>
      <c r="C39" s="331">
        <v>250</v>
      </c>
    </row>
    <row r="40" spans="2:4" ht="15.75" x14ac:dyDescent="0.25">
      <c r="B40" s="167" t="s">
        <v>457</v>
      </c>
      <c r="C40" s="331">
        <v>1200</v>
      </c>
    </row>
    <row r="41" spans="2:4" ht="15.75" x14ac:dyDescent="0.25">
      <c r="B41" s="167" t="s">
        <v>459</v>
      </c>
      <c r="C41" s="331">
        <v>350</v>
      </c>
    </row>
    <row r="42" spans="2:4" ht="15.75" x14ac:dyDescent="0.25">
      <c r="B42" s="167" t="s">
        <v>260</v>
      </c>
      <c r="C42" s="331">
        <v>80</v>
      </c>
    </row>
    <row r="43" spans="2:4" ht="15.75" x14ac:dyDescent="0.25">
      <c r="B43" s="167" t="s">
        <v>458</v>
      </c>
      <c r="C43" s="331">
        <v>300</v>
      </c>
    </row>
    <row r="44" spans="2:4" ht="15.75" x14ac:dyDescent="0.25">
      <c r="B44" s="167" t="s">
        <v>261</v>
      </c>
      <c r="C44" s="331">
        <v>450</v>
      </c>
    </row>
    <row r="45" spans="2:4" ht="15.75" x14ac:dyDescent="0.25">
      <c r="B45" s="167" t="s">
        <v>262</v>
      </c>
      <c r="C45" s="331">
        <f>+(INGRESOS!L35+INGRESOS!L25)*0.005</f>
        <v>768.75</v>
      </c>
    </row>
    <row r="46" spans="2:4" ht="15.75" x14ac:dyDescent="0.25">
      <c r="B46" s="167" t="s">
        <v>353</v>
      </c>
      <c r="C46" s="331">
        <f>+(INGRESOS!L35+INGRESOS!L25)*3%</f>
        <v>4612.5</v>
      </c>
    </row>
    <row r="47" spans="2:4" ht="15.75" x14ac:dyDescent="0.25">
      <c r="B47" s="167" t="s">
        <v>263</v>
      </c>
      <c r="C47" s="331">
        <v>350</v>
      </c>
    </row>
    <row r="48" spans="2:4" ht="15.75" x14ac:dyDescent="0.25">
      <c r="B48" s="172" t="s">
        <v>272</v>
      </c>
      <c r="C48" s="332">
        <f>SUM(C12:C47)</f>
        <v>64223.783299999988</v>
      </c>
      <c r="D48" s="168"/>
    </row>
    <row r="49" spans="2:8" ht="15.75" x14ac:dyDescent="0.25">
      <c r="B49" s="172" t="s">
        <v>273</v>
      </c>
      <c r="C49" s="333" t="e">
        <f>+C11-C48</f>
        <v>#VALUE!</v>
      </c>
      <c r="D49" s="168"/>
      <c r="E49" s="170"/>
    </row>
    <row r="50" spans="2:8" ht="15.75" x14ac:dyDescent="0.25">
      <c r="B50" s="169" t="s">
        <v>264</v>
      </c>
      <c r="C50" s="332">
        <f>+C2-C48</f>
        <v>257590.45336666671</v>
      </c>
    </row>
    <row r="51" spans="2:8" ht="15.75" x14ac:dyDescent="0.25">
      <c r="B51" s="169"/>
      <c r="C51" s="332"/>
    </row>
    <row r="52" spans="2:8" ht="15.75" x14ac:dyDescent="0.25">
      <c r="B52" s="359" t="s">
        <v>470</v>
      </c>
      <c r="C52" s="360"/>
    </row>
    <row r="53" spans="2:8" ht="15.75" x14ac:dyDescent="0.25">
      <c r="B53" s="347" t="s">
        <v>465</v>
      </c>
      <c r="C53" s="348"/>
    </row>
    <row r="54" spans="2:8" x14ac:dyDescent="0.25">
      <c r="B54" s="371" t="s">
        <v>495</v>
      </c>
      <c r="C54" s="325">
        <v>54040</v>
      </c>
    </row>
    <row r="55" spans="2:8" x14ac:dyDescent="0.25">
      <c r="B55" s="350" t="s">
        <v>466</v>
      </c>
      <c r="C55" s="351">
        <f>+C54</f>
        <v>54040</v>
      </c>
    </row>
    <row r="56" spans="2:8" x14ac:dyDescent="0.25">
      <c r="B56" s="350"/>
      <c r="C56" s="356"/>
    </row>
    <row r="57" spans="2:8" x14ac:dyDescent="0.25">
      <c r="B57" s="350" t="s">
        <v>467</v>
      </c>
      <c r="C57" s="356"/>
      <c r="E57" s="361" t="s">
        <v>496</v>
      </c>
      <c r="F57" s="325">
        <v>6000</v>
      </c>
      <c r="G57" s="373"/>
      <c r="H57" s="355"/>
    </row>
    <row r="58" spans="2:8" ht="30" x14ac:dyDescent="0.25">
      <c r="B58" s="361" t="s">
        <v>484</v>
      </c>
      <c r="C58" s="325">
        <v>6000</v>
      </c>
      <c r="E58" s="362" t="s">
        <v>497</v>
      </c>
      <c r="F58" s="325">
        <v>9500</v>
      </c>
    </row>
    <row r="59" spans="2:8" ht="45" x14ac:dyDescent="0.25">
      <c r="B59" s="362" t="s">
        <v>485</v>
      </c>
      <c r="C59" s="325">
        <v>9500</v>
      </c>
      <c r="E59" s="361" t="s">
        <v>498</v>
      </c>
      <c r="F59" s="355">
        <v>13680</v>
      </c>
    </row>
    <row r="60" spans="2:8" ht="30" x14ac:dyDescent="0.25">
      <c r="B60" s="361" t="s">
        <v>486</v>
      </c>
      <c r="C60" s="355">
        <v>13680</v>
      </c>
      <c r="E60" s="371" t="s">
        <v>401</v>
      </c>
      <c r="F60" s="325">
        <v>54040</v>
      </c>
    </row>
    <row r="61" spans="2:8" ht="30" x14ac:dyDescent="0.25">
      <c r="B61" s="365" t="s">
        <v>488</v>
      </c>
      <c r="C61" s="356">
        <f>SUM(C62:C65)</f>
        <v>31951.68</v>
      </c>
      <c r="E61" s="372" t="s">
        <v>460</v>
      </c>
      <c r="F61" s="325">
        <v>12000</v>
      </c>
    </row>
    <row r="62" spans="2:8" ht="30" x14ac:dyDescent="0.25">
      <c r="B62" s="353" t="s">
        <v>460</v>
      </c>
      <c r="C62" s="325">
        <v>12000</v>
      </c>
      <c r="E62" s="354" t="s">
        <v>499</v>
      </c>
      <c r="F62" s="325">
        <v>11887.66</v>
      </c>
    </row>
    <row r="63" spans="2:8" ht="30" x14ac:dyDescent="0.25">
      <c r="B63" s="354" t="s">
        <v>454</v>
      </c>
      <c r="C63" s="325">
        <v>11887.66</v>
      </c>
      <c r="E63" s="354" t="s">
        <v>452</v>
      </c>
      <c r="F63" s="325">
        <v>3000</v>
      </c>
    </row>
    <row r="64" spans="2:8" x14ac:dyDescent="0.25">
      <c r="B64" s="354" t="s">
        <v>452</v>
      </c>
      <c r="C64" s="325">
        <v>3000</v>
      </c>
      <c r="E64" s="354" t="s">
        <v>500</v>
      </c>
      <c r="F64" s="325">
        <v>5064.0200000000004</v>
      </c>
    </row>
    <row r="65" spans="2:8" ht="30" x14ac:dyDescent="0.25">
      <c r="B65" s="354" t="s">
        <v>453</v>
      </c>
      <c r="C65" s="325">
        <v>5064.0200000000004</v>
      </c>
      <c r="E65" s="364" t="s">
        <v>463</v>
      </c>
      <c r="F65" s="325">
        <v>5000</v>
      </c>
    </row>
    <row r="66" spans="2:8" ht="30" x14ac:dyDescent="0.25">
      <c r="B66" s="364" t="s">
        <v>408</v>
      </c>
      <c r="C66" s="325">
        <v>5000</v>
      </c>
      <c r="E66" s="361" t="s">
        <v>501</v>
      </c>
      <c r="F66" s="325">
        <v>9000</v>
      </c>
    </row>
    <row r="67" spans="2:8" ht="30" x14ac:dyDescent="0.25">
      <c r="B67" s="361" t="s">
        <v>491</v>
      </c>
      <c r="C67" s="325">
        <v>9000</v>
      </c>
      <c r="E67" s="364" t="s">
        <v>502</v>
      </c>
      <c r="F67" s="325">
        <v>4596.8999999999996</v>
      </c>
    </row>
    <row r="68" spans="2:8" ht="60" x14ac:dyDescent="0.25">
      <c r="B68" s="364" t="s">
        <v>494</v>
      </c>
      <c r="C68" s="325">
        <v>4596.8999999999996</v>
      </c>
      <c r="E68" s="361" t="s">
        <v>504</v>
      </c>
      <c r="F68" s="325">
        <v>5924.3</v>
      </c>
    </row>
    <row r="69" spans="2:8" ht="45" x14ac:dyDescent="0.25">
      <c r="B69" s="361" t="s">
        <v>503</v>
      </c>
      <c r="C69" s="325">
        <f>+DISTRIBUTIVO!J21</f>
        <v>5924.3024999999998</v>
      </c>
      <c r="E69" s="364" t="s">
        <v>505</v>
      </c>
      <c r="F69" s="325">
        <v>500</v>
      </c>
    </row>
    <row r="70" spans="2:8" ht="30" x14ac:dyDescent="0.25">
      <c r="B70" s="364" t="s">
        <v>493</v>
      </c>
      <c r="C70" s="325">
        <v>500</v>
      </c>
    </row>
    <row r="71" spans="2:8" x14ac:dyDescent="0.25">
      <c r="B71" s="350" t="s">
        <v>468</v>
      </c>
      <c r="C71" s="351">
        <f>SUM(C58:C70)-C61</f>
        <v>86152.882500000007</v>
      </c>
      <c r="E71" s="168"/>
    </row>
    <row r="72" spans="2:8" x14ac:dyDescent="0.25">
      <c r="B72" s="352" t="s">
        <v>464</v>
      </c>
      <c r="C72" s="349">
        <f>+C71+C55</f>
        <v>140192.88250000001</v>
      </c>
      <c r="D72" s="209">
        <f>+C50-C72</f>
        <v>117397.57086666671</v>
      </c>
      <c r="E72" s="168"/>
    </row>
    <row r="73" spans="2:8" s="163" customFormat="1" x14ac:dyDescent="0.25">
      <c r="B73" s="350" t="s">
        <v>471</v>
      </c>
      <c r="C73" s="358">
        <f>+C72+C48</f>
        <v>204416.66579999999</v>
      </c>
      <c r="D73" s="217"/>
      <c r="E73" s="247"/>
    </row>
    <row r="74" spans="2:8" x14ac:dyDescent="0.25">
      <c r="B74" s="223"/>
      <c r="C74" s="334"/>
      <c r="E74" s="151"/>
    </row>
    <row r="75" spans="2:8" x14ac:dyDescent="0.25">
      <c r="B75" s="223"/>
      <c r="C75" s="334"/>
      <c r="D75" s="163"/>
      <c r="E75" s="163"/>
    </row>
    <row r="76" spans="2:8" x14ac:dyDescent="0.25">
      <c r="B76" s="164"/>
      <c r="D76" s="163"/>
      <c r="E76" s="163"/>
    </row>
    <row r="77" spans="2:8" x14ac:dyDescent="0.25">
      <c r="B77" s="164"/>
      <c r="D77" s="163"/>
      <c r="E77" s="163"/>
    </row>
    <row r="78" spans="2:8" x14ac:dyDescent="0.25">
      <c r="B78" s="173" t="s">
        <v>274</v>
      </c>
      <c r="E78" s="173" t="s">
        <v>275</v>
      </c>
      <c r="F78" s="173" t="s">
        <v>276</v>
      </c>
      <c r="G78" s="173" t="s">
        <v>20</v>
      </c>
      <c r="H78" s="173" t="s">
        <v>277</v>
      </c>
    </row>
    <row r="79" spans="2:8" x14ac:dyDescent="0.25">
      <c r="B79" s="190" t="s">
        <v>265</v>
      </c>
      <c r="C79" s="335"/>
      <c r="D79" s="190"/>
      <c r="E79" s="190">
        <f>140*4</f>
        <v>560</v>
      </c>
      <c r="F79" s="190">
        <f>230*4</f>
        <v>920</v>
      </c>
      <c r="G79" s="190">
        <f>+F79+E79</f>
        <v>1480</v>
      </c>
      <c r="H79" s="191">
        <f>F79/G79</f>
        <v>0.6216216216216216</v>
      </c>
    </row>
    <row r="80" spans="2:8" x14ac:dyDescent="0.25">
      <c r="B80" s="193" t="s">
        <v>266</v>
      </c>
      <c r="C80" s="336"/>
      <c r="D80" s="193"/>
      <c r="E80" s="193">
        <v>560</v>
      </c>
      <c r="F80" s="193">
        <f>125*4</f>
        <v>500</v>
      </c>
      <c r="G80" s="193">
        <f>+F80+E80</f>
        <v>1060</v>
      </c>
      <c r="H80" s="194">
        <f>+F80/G80</f>
        <v>0.47169811320754718</v>
      </c>
    </row>
    <row r="81" spans="2:9" ht="25.5" x14ac:dyDescent="0.25">
      <c r="B81" s="195" t="s">
        <v>283</v>
      </c>
      <c r="C81" s="337" t="s">
        <v>284</v>
      </c>
      <c r="D81" s="195" t="s">
        <v>285</v>
      </c>
      <c r="E81" s="193"/>
      <c r="F81" s="194"/>
      <c r="G81" s="193"/>
      <c r="H81" s="193"/>
    </row>
    <row r="82" spans="2:9" ht="25.5" x14ac:dyDescent="0.25">
      <c r="B82" s="203" t="s">
        <v>305</v>
      </c>
      <c r="C82" s="338" t="s">
        <v>310</v>
      </c>
      <c r="D82" s="196"/>
      <c r="E82" s="193">
        <v>56</v>
      </c>
      <c r="F82" s="193">
        <v>120</v>
      </c>
      <c r="G82" s="193">
        <f>+F82+E82</f>
        <v>176</v>
      </c>
      <c r="H82" s="194">
        <f>+F82/G82</f>
        <v>0.68181818181818177</v>
      </c>
      <c r="I82" t="e">
        <f>+$C$124*H82</f>
        <v>#REF!</v>
      </c>
    </row>
    <row r="83" spans="2:9" ht="63.75" x14ac:dyDescent="0.25">
      <c r="B83" s="438" t="s">
        <v>286</v>
      </c>
      <c r="C83" s="338" t="s">
        <v>287</v>
      </c>
      <c r="D83" s="196" t="s">
        <v>311</v>
      </c>
      <c r="E83" s="193">
        <v>102</v>
      </c>
      <c r="F83" s="193">
        <v>40</v>
      </c>
      <c r="G83" s="193">
        <f>+F83+E83</f>
        <v>142</v>
      </c>
      <c r="H83" s="194">
        <f>+F83/G83</f>
        <v>0.28169014084507044</v>
      </c>
      <c r="I83" t="e">
        <f>+$C$124*H83</f>
        <v>#REF!</v>
      </c>
    </row>
    <row r="84" spans="2:9" ht="76.5" x14ac:dyDescent="0.25">
      <c r="B84" s="438"/>
      <c r="C84" s="439" t="s">
        <v>288</v>
      </c>
      <c r="D84" s="196" t="s">
        <v>312</v>
      </c>
      <c r="E84" s="193">
        <v>40</v>
      </c>
      <c r="F84" s="193">
        <v>10</v>
      </c>
      <c r="G84" s="193">
        <f>+F84+E84</f>
        <v>50</v>
      </c>
      <c r="H84" s="194">
        <f>+F84/G84</f>
        <v>0.2</v>
      </c>
      <c r="I84" t="e">
        <f>+$C$124*H84</f>
        <v>#REF!</v>
      </c>
    </row>
    <row r="85" spans="2:9" ht="38.25" x14ac:dyDescent="0.25">
      <c r="B85" s="438"/>
      <c r="C85" s="439"/>
      <c r="D85" s="196" t="s">
        <v>289</v>
      </c>
      <c r="E85" s="193">
        <v>560</v>
      </c>
      <c r="F85" s="193">
        <v>60</v>
      </c>
      <c r="G85" s="193">
        <f>+F85+E85</f>
        <v>620</v>
      </c>
      <c r="H85" s="194">
        <f>+F85/G85</f>
        <v>9.6774193548387094E-2</v>
      </c>
      <c r="I85" t="e">
        <f>+$C$124*H85</f>
        <v>#REF!</v>
      </c>
    </row>
    <row r="86" spans="2:9" ht="51" hidden="1" x14ac:dyDescent="0.25">
      <c r="B86" s="438" t="s">
        <v>290</v>
      </c>
      <c r="C86" s="439" t="s">
        <v>291</v>
      </c>
      <c r="D86" s="196" t="s">
        <v>292</v>
      </c>
      <c r="E86" s="193"/>
      <c r="F86" s="194"/>
      <c r="G86" s="193"/>
      <c r="H86" s="193"/>
    </row>
    <row r="87" spans="2:9" ht="25.5" hidden="1" x14ac:dyDescent="0.25">
      <c r="B87" s="438"/>
      <c r="C87" s="439"/>
      <c r="D87" s="196" t="s">
        <v>293</v>
      </c>
      <c r="E87" s="193"/>
      <c r="F87" s="194"/>
      <c r="G87" s="193"/>
      <c r="H87" s="193"/>
    </row>
    <row r="88" spans="2:9" hidden="1" x14ac:dyDescent="0.25">
      <c r="B88" s="438"/>
      <c r="C88" s="439"/>
      <c r="D88" s="196" t="s">
        <v>294</v>
      </c>
      <c r="E88" s="193"/>
      <c r="F88" s="194"/>
      <c r="G88" s="193"/>
      <c r="H88" s="193"/>
    </row>
    <row r="89" spans="2:9" ht="25.5" x14ac:dyDescent="0.25">
      <c r="B89" s="435" t="s">
        <v>306</v>
      </c>
      <c r="C89" s="338"/>
      <c r="D89" s="196" t="s">
        <v>308</v>
      </c>
      <c r="E89" s="193"/>
      <c r="F89" s="194"/>
      <c r="G89" s="193"/>
      <c r="H89" s="193"/>
    </row>
    <row r="90" spans="2:9" x14ac:dyDescent="0.25">
      <c r="B90" s="436"/>
      <c r="C90" s="338"/>
      <c r="D90" s="196" t="s">
        <v>307</v>
      </c>
      <c r="E90" s="193"/>
      <c r="F90" s="193"/>
      <c r="G90" s="193"/>
      <c r="H90" s="194"/>
    </row>
    <row r="91" spans="2:9" x14ac:dyDescent="0.25">
      <c r="B91" s="436"/>
      <c r="C91" s="338"/>
      <c r="D91" s="204" t="s">
        <v>309</v>
      </c>
      <c r="E91" s="193"/>
      <c r="F91" s="193"/>
      <c r="G91" s="193"/>
      <c r="H91" s="194"/>
    </row>
    <row r="92" spans="2:9" ht="89.25" x14ac:dyDescent="0.25">
      <c r="B92" s="437"/>
      <c r="C92" s="338"/>
      <c r="D92" s="196" t="s">
        <v>313</v>
      </c>
      <c r="E92" s="193">
        <v>15</v>
      </c>
      <c r="F92" s="193">
        <v>80</v>
      </c>
      <c r="G92" s="193">
        <f>+F92+E92</f>
        <v>95</v>
      </c>
      <c r="H92" s="194">
        <f>+F92/G92</f>
        <v>0.84210526315789469</v>
      </c>
      <c r="I92" t="e">
        <f>+$C$124*H92</f>
        <v>#REF!</v>
      </c>
    </row>
    <row r="93" spans="2:9" x14ac:dyDescent="0.25">
      <c r="B93" s="197" t="s">
        <v>278</v>
      </c>
      <c r="C93" s="339"/>
      <c r="D93" s="197"/>
      <c r="E93" s="197">
        <v>360</v>
      </c>
      <c r="F93" s="197">
        <f>+F79*65%</f>
        <v>598</v>
      </c>
      <c r="G93" s="197">
        <f>+F93+E93</f>
        <v>958</v>
      </c>
      <c r="H93" s="198">
        <f>+E93/G93</f>
        <v>0.37578288100208768</v>
      </c>
    </row>
    <row r="94" spans="2:9" ht="30" x14ac:dyDescent="0.25">
      <c r="B94" s="192" t="s">
        <v>299</v>
      </c>
      <c r="C94" s="339"/>
      <c r="D94" s="197"/>
      <c r="E94" s="197"/>
      <c r="F94" s="198"/>
      <c r="G94" s="197"/>
      <c r="H94" s="197"/>
    </row>
    <row r="95" spans="2:9" x14ac:dyDescent="0.25">
      <c r="B95" s="192" t="s">
        <v>300</v>
      </c>
      <c r="C95" s="339"/>
      <c r="D95" s="197"/>
      <c r="E95" s="197"/>
      <c r="F95" s="198"/>
      <c r="G95" s="197"/>
      <c r="H95" s="197"/>
    </row>
    <row r="96" spans="2:9" x14ac:dyDescent="0.25">
      <c r="B96" s="192" t="s">
        <v>301</v>
      </c>
      <c r="C96" s="339"/>
      <c r="D96" s="197"/>
      <c r="E96" s="197"/>
      <c r="F96" s="198"/>
      <c r="G96" s="197"/>
      <c r="H96" s="197"/>
    </row>
    <row r="97" spans="2:8" ht="30" x14ac:dyDescent="0.25">
      <c r="B97" s="192" t="s">
        <v>302</v>
      </c>
      <c r="C97" s="339"/>
      <c r="D97" s="197"/>
      <c r="E97" s="197"/>
      <c r="F97" s="198"/>
      <c r="G97" s="197"/>
      <c r="H97" s="197"/>
    </row>
    <row r="98" spans="2:8" ht="30" x14ac:dyDescent="0.25">
      <c r="B98" s="192" t="s">
        <v>303</v>
      </c>
      <c r="C98" s="339"/>
      <c r="D98" s="197"/>
      <c r="E98" s="197"/>
      <c r="F98" s="198"/>
      <c r="G98" s="197"/>
      <c r="H98" s="197"/>
    </row>
    <row r="99" spans="2:8" x14ac:dyDescent="0.25">
      <c r="B99" s="192" t="s">
        <v>304</v>
      </c>
      <c r="C99" s="339"/>
      <c r="D99" s="197"/>
      <c r="E99" s="197"/>
      <c r="F99" s="198"/>
      <c r="G99" s="197"/>
      <c r="H99" s="197"/>
    </row>
    <row r="100" spans="2:8" x14ac:dyDescent="0.25">
      <c r="B100" s="174" t="s">
        <v>267</v>
      </c>
      <c r="C100" s="340"/>
      <c r="D100" s="174"/>
      <c r="E100" s="174">
        <v>59</v>
      </c>
      <c r="F100" s="174">
        <v>236</v>
      </c>
      <c r="G100" s="174">
        <f>+F100+E100</f>
        <v>295</v>
      </c>
      <c r="H100" s="175">
        <f>+F100/G100</f>
        <v>0.8</v>
      </c>
    </row>
    <row r="101" spans="2:8" ht="75" x14ac:dyDescent="0.25">
      <c r="B101" s="201" t="s">
        <v>295</v>
      </c>
      <c r="C101" s="340"/>
      <c r="D101" s="174"/>
      <c r="E101" s="174"/>
      <c r="F101" s="211"/>
      <c r="G101" s="174"/>
      <c r="H101" s="174"/>
    </row>
    <row r="102" spans="2:8" ht="45" x14ac:dyDescent="0.25">
      <c r="B102" s="201" t="s">
        <v>296</v>
      </c>
      <c r="C102" s="340"/>
      <c r="D102" s="174"/>
      <c r="E102" s="174"/>
      <c r="F102" s="175"/>
      <c r="G102" s="174"/>
      <c r="H102" s="174"/>
    </row>
    <row r="103" spans="2:8" ht="45" x14ac:dyDescent="0.25">
      <c r="B103" s="201" t="s">
        <v>297</v>
      </c>
      <c r="C103" s="340"/>
      <c r="D103" s="174"/>
      <c r="E103" s="174"/>
      <c r="F103" s="175"/>
      <c r="G103" s="174"/>
      <c r="H103" s="174"/>
    </row>
    <row r="104" spans="2:8" ht="45" x14ac:dyDescent="0.25">
      <c r="B104" s="201" t="s">
        <v>298</v>
      </c>
      <c r="C104" s="340"/>
      <c r="D104" s="174"/>
      <c r="E104" s="174"/>
      <c r="F104" s="175"/>
      <c r="G104" s="174"/>
      <c r="H104" s="174"/>
    </row>
    <row r="105" spans="2:8" x14ac:dyDescent="0.25">
      <c r="B105" s="174"/>
      <c r="C105" s="340"/>
      <c r="D105" s="174"/>
      <c r="E105" s="174"/>
      <c r="F105" s="175"/>
      <c r="G105" s="174"/>
      <c r="H105" s="174"/>
    </row>
    <row r="106" spans="2:8" x14ac:dyDescent="0.25">
      <c r="B106" s="199" t="s">
        <v>317</v>
      </c>
      <c r="C106" s="341"/>
      <c r="D106" s="199"/>
      <c r="E106" s="199"/>
      <c r="F106" s="199"/>
      <c r="G106" s="199">
        <f>+D106+C106</f>
        <v>0</v>
      </c>
      <c r="H106" s="200">
        <v>0.5</v>
      </c>
    </row>
    <row r="107" spans="2:8" x14ac:dyDescent="0.25">
      <c r="C107" s="327" t="s">
        <v>268</v>
      </c>
      <c r="E107" t="s">
        <v>269</v>
      </c>
      <c r="F107" s="170"/>
    </row>
    <row r="108" spans="2:8" x14ac:dyDescent="0.25">
      <c r="B108" s="176" t="s">
        <v>279</v>
      </c>
      <c r="C108" s="342" t="e">
        <f>+#REF!</f>
        <v>#REF!</v>
      </c>
      <c r="D108" s="177">
        <v>1</v>
      </c>
      <c r="E108" s="176">
        <v>20000</v>
      </c>
    </row>
    <row r="109" spans="2:8" x14ac:dyDescent="0.25">
      <c r="B109" s="176" t="s">
        <v>265</v>
      </c>
      <c r="C109" s="343" t="e">
        <f>+C108*D109</f>
        <v>#REF!</v>
      </c>
      <c r="D109" s="177">
        <v>0.4</v>
      </c>
      <c r="E109" s="176">
        <v>0</v>
      </c>
    </row>
    <row r="110" spans="2:8" x14ac:dyDescent="0.25">
      <c r="B110" s="176" t="s">
        <v>266</v>
      </c>
      <c r="C110" s="343" t="e">
        <f>+C108*D110</f>
        <v>#REF!</v>
      </c>
      <c r="D110" s="177">
        <v>0.3</v>
      </c>
      <c r="E110" s="176">
        <v>0</v>
      </c>
    </row>
    <row r="111" spans="2:8" x14ac:dyDescent="0.25">
      <c r="B111" s="176" t="s">
        <v>280</v>
      </c>
      <c r="C111" s="343" t="e">
        <f>+C108*D111</f>
        <v>#REF!</v>
      </c>
      <c r="D111" s="177">
        <v>0.1</v>
      </c>
      <c r="E111" s="176">
        <v>0</v>
      </c>
    </row>
    <row r="112" spans="2:8" x14ac:dyDescent="0.25">
      <c r="B112" s="176" t="s">
        <v>267</v>
      </c>
      <c r="C112" s="343" t="e">
        <f>+C108*D112</f>
        <v>#REF!</v>
      </c>
      <c r="D112" s="177">
        <v>0.15</v>
      </c>
      <c r="E112" s="176">
        <v>0</v>
      </c>
    </row>
    <row r="113" spans="1:16" x14ac:dyDescent="0.25">
      <c r="B113" s="176" t="s">
        <v>281</v>
      </c>
      <c r="C113" s="343" t="e">
        <f>+C108*D113</f>
        <v>#REF!</v>
      </c>
      <c r="D113" s="177">
        <v>0.05</v>
      </c>
      <c r="E113" s="176">
        <v>0</v>
      </c>
    </row>
    <row r="114" spans="1:16" x14ac:dyDescent="0.25">
      <c r="C114" s="327" t="e">
        <f>SUM(C109:C113)</f>
        <v>#REF!</v>
      </c>
      <c r="E114">
        <f>SUM(E109:E113)</f>
        <v>0</v>
      </c>
    </row>
    <row r="115" spans="1:16" x14ac:dyDescent="0.25">
      <c r="C115" s="344" t="s">
        <v>282</v>
      </c>
      <c r="D115" s="202"/>
      <c r="E115" s="202"/>
      <c r="F115" s="433"/>
      <c r="G115" s="433"/>
      <c r="H115" s="433"/>
      <c r="I115" s="433"/>
      <c r="J115" s="433"/>
      <c r="K115" s="186"/>
      <c r="L115" s="186"/>
      <c r="M115" s="186"/>
      <c r="N115" s="186"/>
      <c r="O115" s="186"/>
      <c r="P115" s="186"/>
    </row>
    <row r="116" spans="1:16" x14ac:dyDescent="0.25">
      <c r="B116" s="178" t="s">
        <v>279</v>
      </c>
      <c r="C116" s="345" t="s">
        <v>20</v>
      </c>
      <c r="D116" s="178" t="s">
        <v>275</v>
      </c>
      <c r="E116" s="178" t="s">
        <v>276</v>
      </c>
      <c r="F116" s="187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</row>
    <row r="117" spans="1:16" x14ac:dyDescent="0.25">
      <c r="B117" s="179" t="s">
        <v>265</v>
      </c>
      <c r="C117" s="346" t="e">
        <f>+C109</f>
        <v>#REF!</v>
      </c>
      <c r="D117" s="180" t="e">
        <f>+C117-E117</f>
        <v>#REF!</v>
      </c>
      <c r="E117" s="180" t="e">
        <f>+C117*H79</f>
        <v>#REF!</v>
      </c>
      <c r="F117" s="186"/>
      <c r="G117" s="171"/>
      <c r="H117" s="171"/>
      <c r="I117" s="171"/>
      <c r="J117" s="171"/>
      <c r="K117" s="186"/>
      <c r="L117" s="186"/>
      <c r="M117" s="186"/>
      <c r="N117" s="186"/>
      <c r="O117" s="186"/>
      <c r="P117" s="186"/>
    </row>
    <row r="118" spans="1:16" x14ac:dyDescent="0.25">
      <c r="B118" s="179" t="s">
        <v>266</v>
      </c>
      <c r="C118" s="346" t="e">
        <f>+C110</f>
        <v>#REF!</v>
      </c>
      <c r="D118" s="180" t="e">
        <f>+C118-E118</f>
        <v>#REF!</v>
      </c>
      <c r="E118" s="180" t="e">
        <f>+I82+I83+I84+I85+I92</f>
        <v>#REF!</v>
      </c>
      <c r="F118" s="186"/>
      <c r="G118" s="171"/>
      <c r="H118" s="171"/>
      <c r="I118" s="171"/>
      <c r="J118" s="171"/>
      <c r="K118" s="186"/>
      <c r="L118" s="186"/>
      <c r="M118" s="186"/>
      <c r="N118" s="186"/>
      <c r="O118" s="186"/>
      <c r="P118" s="186"/>
    </row>
    <row r="119" spans="1:16" s="182" customFormat="1" x14ac:dyDescent="0.25">
      <c r="B119" s="179" t="s">
        <v>280</v>
      </c>
      <c r="C119" s="346" t="e">
        <f>+C111</f>
        <v>#REF!</v>
      </c>
      <c r="D119" s="180" t="e">
        <f>+C119-E119</f>
        <v>#REF!</v>
      </c>
      <c r="E119" s="180" t="e">
        <f>+C119*H93</f>
        <v>#REF!</v>
      </c>
      <c r="F119" s="186"/>
      <c r="G119" s="171"/>
      <c r="H119" s="171"/>
      <c r="I119" s="171"/>
      <c r="J119" s="171"/>
      <c r="K119" s="188"/>
      <c r="L119" s="188"/>
      <c r="M119" s="188"/>
      <c r="N119" s="188"/>
      <c r="O119" s="188"/>
      <c r="P119" s="188"/>
    </row>
    <row r="120" spans="1:16" s="182" customFormat="1" x14ac:dyDescent="0.25">
      <c r="B120" s="179" t="s">
        <v>267</v>
      </c>
      <c r="C120" s="346" t="e">
        <f>+C112</f>
        <v>#REF!</v>
      </c>
      <c r="D120" s="180" t="e">
        <f>+C120-E120</f>
        <v>#REF!</v>
      </c>
      <c r="E120" s="180" t="e">
        <f>+C120*H100</f>
        <v>#REF!</v>
      </c>
      <c r="F120" s="186"/>
      <c r="G120" s="171"/>
      <c r="H120" s="171"/>
      <c r="I120" s="171"/>
      <c r="J120" s="171"/>
      <c r="K120" s="189"/>
      <c r="L120" s="189"/>
      <c r="M120" s="189"/>
      <c r="N120" s="189"/>
      <c r="O120" s="189"/>
      <c r="P120" s="189"/>
    </row>
    <row r="121" spans="1:16" s="182" customFormat="1" x14ac:dyDescent="0.25">
      <c r="B121" s="179" t="s">
        <v>281</v>
      </c>
      <c r="C121" s="346" t="e">
        <f>+C113</f>
        <v>#REF!</v>
      </c>
      <c r="D121" s="180" t="e">
        <f>+C121-E121</f>
        <v>#REF!</v>
      </c>
      <c r="E121" s="180" t="e">
        <f>+C121*H106</f>
        <v>#REF!</v>
      </c>
      <c r="F121" s="186"/>
      <c r="G121" s="171"/>
      <c r="H121" s="171"/>
      <c r="I121" s="171"/>
      <c r="J121" s="171"/>
      <c r="K121" s="186"/>
      <c r="L121" s="186"/>
      <c r="M121" s="186"/>
      <c r="N121" s="186"/>
      <c r="O121" s="186"/>
      <c r="P121" s="188"/>
    </row>
    <row r="122" spans="1:16" s="182" customFormat="1" x14ac:dyDescent="0.25">
      <c r="B122" s="178" t="s">
        <v>20</v>
      </c>
      <c r="C122" s="345" t="e">
        <f>SUM(C117:C121)</f>
        <v>#REF!</v>
      </c>
      <c r="D122" s="181" t="e">
        <f>SUM(D117:D121)</f>
        <v>#REF!</v>
      </c>
      <c r="E122" s="181" t="e">
        <f>SUM(E117:E121)</f>
        <v>#REF!</v>
      </c>
      <c r="F122" s="186"/>
      <c r="G122" s="186"/>
      <c r="H122" s="186"/>
      <c r="I122" s="171"/>
      <c r="J122" s="171"/>
      <c r="K122" s="189"/>
      <c r="L122" s="189"/>
      <c r="M122" s="189"/>
      <c r="N122" s="189"/>
      <c r="O122" s="189"/>
      <c r="P122" s="189"/>
    </row>
    <row r="123" spans="1:16" s="182" customFormat="1" x14ac:dyDescent="0.25">
      <c r="C123" s="326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4"/>
    </row>
    <row r="124" spans="1:16" s="182" customFormat="1" x14ac:dyDescent="0.25">
      <c r="C124" s="326" t="e">
        <f>+C118/5</f>
        <v>#REF!</v>
      </c>
      <c r="E124" s="205"/>
      <c r="F124" s="185"/>
    </row>
    <row r="125" spans="1:16" x14ac:dyDescent="0.25">
      <c r="A125" s="182"/>
    </row>
    <row r="127" spans="1:16" x14ac:dyDescent="0.25">
      <c r="B127" t="s">
        <v>332</v>
      </c>
    </row>
    <row r="128" spans="1:16" x14ac:dyDescent="0.25">
      <c r="B128">
        <v>3000</v>
      </c>
      <c r="C128" s="327" t="s">
        <v>333</v>
      </c>
    </row>
    <row r="129" spans="2:3" x14ac:dyDescent="0.25">
      <c r="B129" s="151" t="e">
        <f>+D122-B128</f>
        <v>#REF!</v>
      </c>
      <c r="C129" s="327" t="s">
        <v>334</v>
      </c>
    </row>
    <row r="130" spans="2:3" x14ac:dyDescent="0.25">
      <c r="B130" t="s">
        <v>335</v>
      </c>
    </row>
  </sheetData>
  <mergeCells count="8">
    <mergeCell ref="F115:H115"/>
    <mergeCell ref="I115:J115"/>
    <mergeCell ref="D2:E2"/>
    <mergeCell ref="B89:B92"/>
    <mergeCell ref="B83:B85"/>
    <mergeCell ref="C84:C85"/>
    <mergeCell ref="B86:B88"/>
    <mergeCell ref="C86:C8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32"/>
  <sheetViews>
    <sheetView topLeftCell="A7" workbookViewId="0">
      <selection activeCell="F9" sqref="F9"/>
    </sheetView>
  </sheetViews>
  <sheetFormatPr baseColWidth="10" defaultRowHeight="20.25" customHeight="1" x14ac:dyDescent="0.25"/>
  <cols>
    <col min="3" max="3" width="45.7109375" customWidth="1"/>
    <col min="4" max="4" width="13.85546875" style="327" bestFit="1" customWidth="1"/>
  </cols>
  <sheetData>
    <row r="2" spans="1:5" ht="20.25" customHeight="1" x14ac:dyDescent="0.25">
      <c r="C2" s="261" t="s">
        <v>219</v>
      </c>
      <c r="D2" s="324" t="s">
        <v>138</v>
      </c>
      <c r="E2" s="264" t="s">
        <v>428</v>
      </c>
    </row>
    <row r="3" spans="1:5" ht="20.25" customHeight="1" x14ac:dyDescent="0.25">
      <c r="C3" s="260" t="s">
        <v>425</v>
      </c>
      <c r="D3" s="325">
        <f>+PARTICIPATIVO!C48</f>
        <v>64223.783299999988</v>
      </c>
      <c r="E3" s="263">
        <f>+D3/$D$23</f>
        <v>0.19956787482501157</v>
      </c>
    </row>
    <row r="4" spans="1:5" ht="20.25" customHeight="1" x14ac:dyDescent="0.25">
      <c r="C4" s="260" t="s">
        <v>430</v>
      </c>
      <c r="D4" s="325">
        <f>+PARTICIPATIVO!C50</f>
        <v>257590.45336666671</v>
      </c>
      <c r="E4" s="263">
        <f>+D4/$D$23</f>
        <v>0.80043212517498841</v>
      </c>
    </row>
    <row r="5" spans="1:5" ht="20.25" customHeight="1" x14ac:dyDescent="0.25">
      <c r="C5" s="260"/>
      <c r="D5" s="325"/>
      <c r="E5" s="263"/>
    </row>
    <row r="6" spans="1:5" ht="20.25" customHeight="1" x14ac:dyDescent="0.25">
      <c r="C6" s="260" t="s">
        <v>401</v>
      </c>
      <c r="D6" s="325">
        <v>53250</v>
      </c>
      <c r="E6" s="263">
        <f>+D6/$D$23</f>
        <v>0.16546813015968601</v>
      </c>
    </row>
    <row r="7" spans="1:5" ht="27.75" customHeight="1" x14ac:dyDescent="0.25">
      <c r="C7" s="262" t="s">
        <v>429</v>
      </c>
      <c r="D7" s="325" t="s">
        <v>138</v>
      </c>
      <c r="E7" s="263" t="e">
        <f>+D7/$D$23</f>
        <v>#VALUE!</v>
      </c>
    </row>
    <row r="8" spans="1:5" ht="27.75" customHeight="1" x14ac:dyDescent="0.25">
      <c r="C8" s="366" t="s">
        <v>484</v>
      </c>
      <c r="D8" s="326">
        <v>6000</v>
      </c>
      <c r="E8" s="263"/>
    </row>
    <row r="9" spans="1:5" ht="27.75" customHeight="1" x14ac:dyDescent="0.25">
      <c r="C9" s="367" t="s">
        <v>485</v>
      </c>
      <c r="D9" s="326">
        <v>9500</v>
      </c>
      <c r="E9" s="263"/>
    </row>
    <row r="10" spans="1:5" ht="27.75" customHeight="1" x14ac:dyDescent="0.25">
      <c r="C10" s="366" t="s">
        <v>486</v>
      </c>
      <c r="D10" s="323">
        <v>13680</v>
      </c>
      <c r="E10" s="263"/>
    </row>
    <row r="11" spans="1:5" ht="27.75" customHeight="1" x14ac:dyDescent="0.25">
      <c r="C11" s="363" t="s">
        <v>487</v>
      </c>
      <c r="D11" s="323">
        <v>54040</v>
      </c>
      <c r="E11" s="263"/>
    </row>
    <row r="12" spans="1:5" ht="27.75" customHeight="1" x14ac:dyDescent="0.25">
      <c r="A12">
        <v>26887.66</v>
      </c>
      <c r="C12" s="368" t="s">
        <v>488</v>
      </c>
      <c r="D12" s="323">
        <f>26887.66+5064.02</f>
        <v>31951.68</v>
      </c>
      <c r="E12" s="263"/>
    </row>
    <row r="13" spans="1:5" ht="33" customHeight="1" x14ac:dyDescent="0.25">
      <c r="C13" s="369" t="s">
        <v>489</v>
      </c>
      <c r="D13" s="323">
        <v>4596.8999999999996</v>
      </c>
      <c r="E13" s="263">
        <f>+D13/$D$23</f>
        <v>1.4284327653165455E-2</v>
      </c>
    </row>
    <row r="14" spans="1:5" ht="33" customHeight="1" x14ac:dyDescent="0.25">
      <c r="C14" s="366" t="s">
        <v>490</v>
      </c>
      <c r="D14" s="323">
        <v>5000</v>
      </c>
      <c r="E14" s="263">
        <f>+D14/$D$23</f>
        <v>1.5536913630017465E-2</v>
      </c>
    </row>
    <row r="15" spans="1:5" ht="27.75" customHeight="1" x14ac:dyDescent="0.25">
      <c r="C15" s="366" t="s">
        <v>491</v>
      </c>
      <c r="D15" s="323">
        <v>9000</v>
      </c>
      <c r="E15" s="263">
        <f>+D15/$D$23</f>
        <v>2.7966444534031437E-2</v>
      </c>
    </row>
    <row r="16" spans="1:5" ht="44.25" customHeight="1" x14ac:dyDescent="0.25">
      <c r="C16" s="366" t="s">
        <v>492</v>
      </c>
      <c r="D16" s="326">
        <v>5924.3</v>
      </c>
      <c r="E16" s="263">
        <f>+D16/$D$23</f>
        <v>1.8409067483662493E-2</v>
      </c>
    </row>
    <row r="17" spans="1:5" ht="30.75" customHeight="1" x14ac:dyDescent="0.25">
      <c r="C17" s="370" t="s">
        <v>493</v>
      </c>
      <c r="D17" s="325">
        <v>500</v>
      </c>
      <c r="E17" s="263">
        <f>+D17/$D$23</f>
        <v>1.5536913630017466E-3</v>
      </c>
    </row>
    <row r="18" spans="1:5" ht="20.25" customHeight="1" x14ac:dyDescent="0.25">
      <c r="D18" s="327">
        <f>SUM(D8:D17)</f>
        <v>140192.87999999998</v>
      </c>
    </row>
    <row r="19" spans="1:5" ht="20.25" customHeight="1" x14ac:dyDescent="0.25">
      <c r="C19" s="157" t="s">
        <v>427</v>
      </c>
      <c r="D19" s="328" t="s">
        <v>138</v>
      </c>
    </row>
    <row r="20" spans="1:5" ht="20.25" customHeight="1" x14ac:dyDescent="0.25">
      <c r="C20" s="159" t="s">
        <v>14</v>
      </c>
      <c r="D20" s="216">
        <f>+INGRESOS!L6</f>
        <v>64950</v>
      </c>
    </row>
    <row r="21" spans="1:5" ht="20.25" customHeight="1" x14ac:dyDescent="0.25">
      <c r="C21" s="159" t="s">
        <v>5</v>
      </c>
      <c r="D21" s="216">
        <f>+INGRESOS!L29</f>
        <v>139466.66666666666</v>
      </c>
    </row>
    <row r="22" spans="1:5" ht="20.25" customHeight="1" x14ac:dyDescent="0.25">
      <c r="C22" s="159"/>
      <c r="D22" s="216">
        <f>+INGRESOS!L42</f>
        <v>117397.57</v>
      </c>
    </row>
    <row r="23" spans="1:5" ht="20.25" customHeight="1" x14ac:dyDescent="0.25">
      <c r="C23" s="157" t="s">
        <v>426</v>
      </c>
      <c r="D23" s="215">
        <f>SUM(D20:D22)</f>
        <v>321814.23666666669</v>
      </c>
    </row>
    <row r="31" spans="1:5" ht="20.25" customHeight="1" x14ac:dyDescent="0.25">
      <c r="A31" t="s">
        <v>275</v>
      </c>
      <c r="D31" s="327" t="s">
        <v>276</v>
      </c>
    </row>
    <row r="32" spans="1:5" ht="20.25" customHeight="1" x14ac:dyDescent="0.25">
      <c r="A32" s="163">
        <v>25710.46</v>
      </c>
      <c r="B32" s="163"/>
      <c r="C32" s="163"/>
      <c r="D32" s="329">
        <v>27129.58</v>
      </c>
    </row>
  </sheetData>
  <pageMargins left="0.7" right="0.7" top="0.75" bottom="0.75" header="0.3" footer="0.3"/>
  <pageSetup paperSize="9" orientation="portrait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4"/>
  <sheetViews>
    <sheetView topLeftCell="C1" workbookViewId="0">
      <selection activeCell="E7" sqref="E7"/>
    </sheetView>
  </sheetViews>
  <sheetFormatPr baseColWidth="10" defaultRowHeight="15" x14ac:dyDescent="0.25"/>
  <cols>
    <col min="4" max="4" width="50.28515625" customWidth="1"/>
  </cols>
  <sheetData>
    <row r="2" spans="4:5" ht="15.75" thickBot="1" x14ac:dyDescent="0.3"/>
    <row r="3" spans="4:5" ht="16.5" thickBot="1" x14ac:dyDescent="0.3">
      <c r="D3" s="265" t="s">
        <v>431</v>
      </c>
      <c r="E3" s="266">
        <f>SUM(E4:E6)</f>
        <v>72316.899999999994</v>
      </c>
    </row>
    <row r="4" spans="4:5" ht="15.75" thickBot="1" x14ac:dyDescent="0.3">
      <c r="D4" s="267" t="s">
        <v>401</v>
      </c>
      <c r="E4" s="268">
        <v>53250</v>
      </c>
    </row>
    <row r="5" spans="4:5" ht="15.75" thickBot="1" x14ac:dyDescent="0.3">
      <c r="D5" s="267" t="s">
        <v>410</v>
      </c>
      <c r="E5" s="268">
        <v>13680</v>
      </c>
    </row>
    <row r="6" spans="4:5" ht="15.75" thickBot="1" x14ac:dyDescent="0.3">
      <c r="D6" s="267" t="s">
        <v>364</v>
      </c>
      <c r="E6" s="268">
        <v>5386.9</v>
      </c>
    </row>
    <row r="7" spans="4:5" ht="16.5" thickBot="1" x14ac:dyDescent="0.3">
      <c r="D7" s="269"/>
      <c r="E7" s="270"/>
    </row>
    <row r="8" spans="4:5" ht="16.5" thickBot="1" x14ac:dyDescent="0.3">
      <c r="D8" s="269"/>
      <c r="E8" s="271"/>
    </row>
    <row r="9" spans="4:5" ht="16.5" thickBot="1" x14ac:dyDescent="0.3">
      <c r="D9" s="272" t="s">
        <v>264</v>
      </c>
      <c r="E9" s="270">
        <f>SUM(E11:E23)</f>
        <v>95681.75</v>
      </c>
    </row>
    <row r="10" spans="4:5" ht="15.75" thickBot="1" x14ac:dyDescent="0.3">
      <c r="D10" s="273"/>
      <c r="E10" s="274"/>
    </row>
    <row r="11" spans="4:5" ht="30.75" thickBot="1" x14ac:dyDescent="0.3">
      <c r="D11" s="275" t="s">
        <v>362</v>
      </c>
      <c r="E11" s="276">
        <v>25000</v>
      </c>
    </row>
    <row r="12" spans="4:5" ht="15.75" thickBot="1" x14ac:dyDescent="0.3">
      <c r="D12" s="277" t="s">
        <v>420</v>
      </c>
      <c r="E12" s="268">
        <v>12000</v>
      </c>
    </row>
    <row r="13" spans="4:5" ht="15.75" thickBot="1" x14ac:dyDescent="0.3">
      <c r="D13" s="278" t="s">
        <v>402</v>
      </c>
      <c r="E13" s="268">
        <v>5000</v>
      </c>
    </row>
    <row r="14" spans="4:5" ht="15.75" thickBot="1" x14ac:dyDescent="0.3">
      <c r="D14" s="278" t="s">
        <v>409</v>
      </c>
      <c r="E14" s="268">
        <v>3000</v>
      </c>
    </row>
    <row r="15" spans="4:5" ht="15.75" thickBot="1" x14ac:dyDescent="0.3">
      <c r="D15" s="278" t="s">
        <v>403</v>
      </c>
      <c r="E15" s="268">
        <v>5000</v>
      </c>
    </row>
    <row r="16" spans="4:5" ht="30.75" thickBot="1" x14ac:dyDescent="0.3">
      <c r="D16" s="279" t="s">
        <v>404</v>
      </c>
      <c r="E16" s="280">
        <v>4000</v>
      </c>
    </row>
    <row r="17" spans="4:5" ht="15.75" thickBot="1" x14ac:dyDescent="0.3">
      <c r="D17" s="279" t="s">
        <v>405</v>
      </c>
      <c r="E17" s="280">
        <v>7000</v>
      </c>
    </row>
    <row r="18" spans="4:5" ht="15.75" thickBot="1" x14ac:dyDescent="0.3">
      <c r="D18" s="267" t="s">
        <v>406</v>
      </c>
      <c r="E18" s="281">
        <v>9430</v>
      </c>
    </row>
    <row r="19" spans="4:5" ht="15.75" thickBot="1" x14ac:dyDescent="0.3">
      <c r="D19" s="267" t="s">
        <v>407</v>
      </c>
      <c r="E19" s="280">
        <v>8000</v>
      </c>
    </row>
    <row r="20" spans="4:5" ht="30.75" thickBot="1" x14ac:dyDescent="0.3">
      <c r="D20" s="279" t="s">
        <v>408</v>
      </c>
      <c r="E20" s="268">
        <v>11000</v>
      </c>
    </row>
    <row r="21" spans="4:5" ht="30.75" thickBot="1" x14ac:dyDescent="0.3">
      <c r="D21" s="279" t="s">
        <v>412</v>
      </c>
      <c r="E21" s="268">
        <v>5751.75</v>
      </c>
    </row>
    <row r="22" spans="4:5" ht="15.75" thickBot="1" x14ac:dyDescent="0.3">
      <c r="D22" s="279" t="s">
        <v>147</v>
      </c>
      <c r="E22" s="268">
        <v>500</v>
      </c>
    </row>
    <row r="23" spans="4:5" ht="15.75" thickBot="1" x14ac:dyDescent="0.3">
      <c r="D23" s="279" t="s">
        <v>421</v>
      </c>
      <c r="E23" s="282"/>
    </row>
    <row r="24" spans="4:5" ht="15.75" thickBot="1" x14ac:dyDescent="0.3">
      <c r="D24" s="283" t="s">
        <v>411</v>
      </c>
      <c r="E24" s="284">
        <v>142998.65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 x14ac:dyDescent="0.25"/>
  <sheetData>
    <row r="12" spans="6:7" x14ac:dyDescent="0.25">
      <c r="F12">
        <v>1150</v>
      </c>
      <c r="G12" s="151">
        <f>+F12/1.12</f>
        <v>1026.7857142857142</v>
      </c>
    </row>
    <row r="13" spans="6:7" x14ac:dyDescent="0.25">
      <c r="G13" s="151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COMPUSTORE</cp:lastModifiedBy>
  <cp:lastPrinted>2012-06-21T21:04:38Z</cp:lastPrinted>
  <dcterms:created xsi:type="dcterms:W3CDTF">2010-08-18T18:51:53Z</dcterms:created>
  <dcterms:modified xsi:type="dcterms:W3CDTF">2018-09-26T20:13:40Z</dcterms:modified>
</cp:coreProperties>
</file>